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ExcelWorks\ExceLab-7.0\AutoTest\testfiles\Workbooks\"/>
    </mc:Choice>
  </mc:AlternateContent>
  <xr:revisionPtr revIDLastSave="0" documentId="13_ncr:1_{111F1879-5A4F-40A2-986D-D5892D555B40}" xr6:coauthVersionLast="45" xr6:coauthVersionMax="45" xr10:uidLastSave="{00000000-0000-0000-0000-000000000000}"/>
  <bookViews>
    <workbookView xWindow="12720" yWindow="1560" windowWidth="22935" windowHeight="19500" xr2:uid="{00000000-000D-0000-FFFF-FFFF00000000}"/>
  </bookViews>
  <sheets>
    <sheet name="Readme" sheetId="10" r:id="rId1"/>
    <sheet name="Excel Solver" sheetId="6" r:id="rId2"/>
    <sheet name="Cone volume" sheetId="2" r:id="rId3"/>
    <sheet name="2nd order system" sheetId="1" r:id="rId4"/>
    <sheet name="Travelling Train" sheetId="4" r:id="rId5"/>
    <sheet name="Hot Slab" sheetId="8" r:id="rId6"/>
    <sheet name="Battery Parameters" sheetId="9" r:id="rId7"/>
  </sheets>
  <definedNames>
    <definedName name="a" localSheetId="6">'Battery Parameters'!$B$17</definedName>
    <definedName name="a" localSheetId="1">'Excel Solver'!$C$3</definedName>
    <definedName name="b" localSheetId="1">'Excel Solver'!$C$4</definedName>
    <definedName name="BCs" localSheetId="6">'Battery Parameters'!$H$2:$J$9</definedName>
    <definedName name="beta" localSheetId="6">'Battery Parameters'!$E$5</definedName>
    <definedName name="d" localSheetId="4">'Travelling Train'!$C$4</definedName>
    <definedName name="eqns" localSheetId="6">'Battery Parameters'!$B$21:$B$23</definedName>
    <definedName name="f" localSheetId="6">'Battery Parameters'!$B$18</definedName>
    <definedName name="f" localSheetId="1">'Excel Solver'!$C$6</definedName>
    <definedName name="Fd" localSheetId="4">'Travelling Train'!$C$9</definedName>
    <definedName name="Fg" localSheetId="4">'Travelling Train'!$C$10</definedName>
    <definedName name="Fp" localSheetId="4">'Travelling Train'!$C$14</definedName>
    <definedName name="gamma" localSheetId="6">'Battery Parameters'!$E$6</definedName>
    <definedName name="H" localSheetId="2">'Cone volume'!$B$1</definedName>
    <definedName name="k" localSheetId="5">'Hot Slab'!$D$2</definedName>
    <definedName name="kappa" localSheetId="6">'Battery Parameters'!$B$16</definedName>
    <definedName name="la" localSheetId="6">'Battery Parameters'!$E$4</definedName>
    <definedName name="lc" localSheetId="6">'Battery Parameters'!$E$2</definedName>
    <definedName name="ls" localSheetId="6">'Battery Parameters'!$E$3</definedName>
    <definedName name="M" localSheetId="6">'Battery Parameters'!$C$10:$E$12</definedName>
    <definedName name="mc" localSheetId="6">'Battery Parameters'!$E$7</definedName>
    <definedName name="mt" localSheetId="4">'Travelling Train'!$C$6</definedName>
    <definedName name="omega" localSheetId="3">'2nd order system'!$B$7</definedName>
    <definedName name="overshoot" localSheetId="3">'2nd order system'!$F$7</definedName>
    <definedName name="p" localSheetId="5">'Hot Slab'!$D$4</definedName>
    <definedName name="peak_time" localSheetId="3">'2nd order system'!$F$8</definedName>
    <definedName name="phi_1" localSheetId="6">'Battery Parameters'!$B$4</definedName>
    <definedName name="phi_2" localSheetId="6">'Battery Parameters'!$B$5</definedName>
    <definedName name="phi_3" localSheetId="6">'Battery Parameters'!$B$6</definedName>
    <definedName name="phi1x" localSheetId="6">'Battery Parameters'!$B$7</definedName>
    <definedName name="phi1xx" localSheetId="6">'Battery Parameters'!$B$10</definedName>
    <definedName name="phi2x" localSheetId="6">'Battery Parameters'!$B$8</definedName>
    <definedName name="phi2xx" localSheetId="6">'Battery Parameters'!$B$11</definedName>
    <definedName name="phi3x" localSheetId="6">'Battery Parameters'!$B$9</definedName>
    <definedName name="phi3xx" localSheetId="6">'Battery Parameters'!$B$12</definedName>
    <definedName name="R_" localSheetId="2">'Cone volume'!$B$2</definedName>
    <definedName name="Rad" localSheetId="4">'Travelling Train'!$C$5</definedName>
    <definedName name="Regions" localSheetId="6">'Battery Parameters'!$D$21:$E$23</definedName>
    <definedName name="sigma" localSheetId="6">'Battery Parameters'!$B$15</definedName>
    <definedName name="solver_adj" localSheetId="1" hidden="1">'Excel Solver'!$C$3,'Excel Solver'!$C$4</definedName>
    <definedName name="solver_cvg" localSheetId="1" hidden="1">0.0001</definedName>
    <definedName name="solver_drv" localSheetId="1" hidden="1">2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lhs1" localSheetId="1" hidden="1">'Excel Solver'!$C$3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2</definedName>
    <definedName name="solver_nod" localSheetId="1" hidden="1">2147483647</definedName>
    <definedName name="solver_num" localSheetId="1" hidden="1">1</definedName>
    <definedName name="solver_nwt" localSheetId="1" hidden="1">1</definedName>
    <definedName name="solver_opt" localSheetId="1" hidden="1">'Excel Solver'!$C$7</definedName>
    <definedName name="solver_pre" localSheetId="1" hidden="1">0.000001</definedName>
    <definedName name="solver_rbv" localSheetId="1" hidden="1">2</definedName>
    <definedName name="solver_rel1" localSheetId="1" hidden="1">1</definedName>
    <definedName name="solver_rhs1" localSheetId="1" hidden="1">'Excel Solver'!$C$4</definedName>
    <definedName name="solver_rlx" localSheetId="1" hidden="1">2</definedName>
    <definedName name="solver_rsd" localSheetId="1" hidden="1">0</definedName>
    <definedName name="solver_scl" localSheetId="1" hidden="1">2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1</definedName>
    <definedName name="solver_val" localSheetId="1" hidden="1">0</definedName>
    <definedName name="solver_ver" localSheetId="1" hidden="1">3</definedName>
    <definedName name="t" localSheetId="3">'2nd order system'!$B$2</definedName>
    <definedName name="t" localSheetId="6">'Battery Parameters'!$B$2</definedName>
    <definedName name="t" localSheetId="5">'Hot Slab'!$B$2</definedName>
    <definedName name="t" localSheetId="4">'Travelling Train'!$F$9</definedName>
    <definedName name="tDom" localSheetId="6">'Battery Parameters'!$D$17:$E$17</definedName>
    <definedName name="tf" localSheetId="4">'Travelling Train'!$C$15</definedName>
    <definedName name="theta" localSheetId="4">'Travelling Train'!$C$11</definedName>
    <definedName name="u" localSheetId="5">'Hot Slab'!$B$4</definedName>
    <definedName name="ux" localSheetId="5">'Hot Slab'!$B$5</definedName>
    <definedName name="uxx" localSheetId="5">'Hot Slab'!$B$6</definedName>
    <definedName name="v" localSheetId="3">'2nd order system'!$B$4</definedName>
    <definedName name="v" localSheetId="4">'Travelling Train'!$F$11</definedName>
    <definedName name="vars" localSheetId="6">'Battery Parameters'!$B$2:$B$12</definedName>
    <definedName name="vol" localSheetId="2">'Cone volume'!$B$3</definedName>
    <definedName name="x" localSheetId="3">'2nd order system'!$B$3</definedName>
    <definedName name="x" localSheetId="6">'Battery Parameters'!$B$3</definedName>
    <definedName name="x" localSheetId="1">'Excel Solver'!$C$5</definedName>
    <definedName name="x" localSheetId="5">'Hot Slab'!$B$3</definedName>
    <definedName name="x" localSheetId="4">'Travelling Train'!$F$10</definedName>
    <definedName name="xDom" localSheetId="6">'Battery Parameters'!$D$15:$E$15</definedName>
    <definedName name="y_hi" localSheetId="2">'Cone volume'!$E$6</definedName>
    <definedName name="y_low" localSheetId="2">'Cone volume'!$D$6</definedName>
    <definedName name="z_low" localSheetId="2">'Cone volume'!$D$5</definedName>
    <definedName name="zeta" localSheetId="3">'2nd order system'!$B$8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" i="8" l="1" a="1"/>
  <c r="G23" i="8" a="1"/>
  <c r="G24" i="8" l="1"/>
  <c r="G23" i="8"/>
  <c r="C8" i="8"/>
  <c r="B22" i="2"/>
  <c r="B10" i="2"/>
  <c r="G17" i="8" a="1"/>
  <c r="G17" i="8" l="1"/>
  <c r="H18" i="8"/>
  <c r="G19" i="8"/>
  <c r="H19" i="8"/>
  <c r="G20" i="8"/>
  <c r="H20" i="8"/>
  <c r="H17" i="8"/>
  <c r="G18" i="8"/>
  <c r="F14" i="4"/>
  <c r="C11" i="4" s="1"/>
  <c r="F15" i="4" a="1"/>
  <c r="F15" i="4" s="1"/>
  <c r="B22" i="4" a="1"/>
  <c r="B28" i="1" a="1"/>
  <c r="B32" i="4" a="1"/>
  <c r="B33" i="4" l="1"/>
  <c r="C33" i="4"/>
  <c r="B34" i="4"/>
  <c r="C34" i="4"/>
  <c r="B35" i="4"/>
  <c r="C35" i="4"/>
  <c r="B32" i="4"/>
  <c r="C32" i="4"/>
  <c r="B29" i="1"/>
  <c r="C29" i="1"/>
  <c r="B30" i="1"/>
  <c r="C30" i="1"/>
  <c r="B31" i="1"/>
  <c r="C31" i="1"/>
  <c r="B28" i="1"/>
  <c r="B32" i="1"/>
  <c r="C28" i="1"/>
  <c r="C32" i="1"/>
  <c r="B22" i="4"/>
  <c r="B25" i="4"/>
  <c r="B26" i="4"/>
  <c r="B23" i="4"/>
  <c r="C22" i="4"/>
  <c r="C26" i="4"/>
  <c r="B24" i="4"/>
  <c r="C23" i="4"/>
  <c r="C24" i="4"/>
  <c r="C25" i="4"/>
  <c r="B4" i="1"/>
  <c r="B23" i="2" a="1"/>
  <c r="B35" i="1" a="1"/>
  <c r="B41" i="1" a="1"/>
  <c r="B18" i="1" a="1"/>
  <c r="I2" i="4" a="1"/>
  <c r="B24" i="2" l="1"/>
  <c r="C24" i="2"/>
  <c r="B25" i="2"/>
  <c r="C25" i="2"/>
  <c r="B23" i="2"/>
  <c r="C23" i="2"/>
  <c r="B41" i="1"/>
  <c r="C41" i="1"/>
  <c r="B42" i="1"/>
  <c r="C42" i="1"/>
  <c r="B43" i="1"/>
  <c r="C43" i="1"/>
  <c r="B44" i="1"/>
  <c r="C44" i="1"/>
  <c r="B36" i="1"/>
  <c r="C36" i="1"/>
  <c r="C37" i="1"/>
  <c r="B38" i="1"/>
  <c r="B37" i="1"/>
  <c r="C38" i="1"/>
  <c r="B35" i="1"/>
  <c r="C35" i="1"/>
  <c r="C21" i="1"/>
  <c r="C18" i="1"/>
  <c r="C22" i="1"/>
  <c r="B19" i="1"/>
  <c r="C19" i="1"/>
  <c r="B20" i="1"/>
  <c r="C20" i="1"/>
  <c r="B21" i="1"/>
  <c r="B22" i="1"/>
  <c r="B18" i="1"/>
  <c r="J2" i="4"/>
  <c r="I5" i="4"/>
  <c r="K7" i="4"/>
  <c r="J10" i="4"/>
  <c r="I13" i="4"/>
  <c r="K15" i="4"/>
  <c r="J18" i="4"/>
  <c r="I21" i="4"/>
  <c r="K23" i="4"/>
  <c r="J26" i="4"/>
  <c r="I29" i="4"/>
  <c r="K31" i="4"/>
  <c r="J34" i="4"/>
  <c r="I37" i="4"/>
  <c r="K39" i="4"/>
  <c r="I24" i="4"/>
  <c r="K34" i="4"/>
  <c r="K5" i="4"/>
  <c r="K21" i="4"/>
  <c r="I6" i="4"/>
  <c r="K24" i="4"/>
  <c r="I38" i="4"/>
  <c r="I4" i="4"/>
  <c r="I12" i="4"/>
  <c r="K22" i="4"/>
  <c r="K30" i="4"/>
  <c r="K38" i="4"/>
  <c r="J4" i="4"/>
  <c r="K9" i="4"/>
  <c r="I15" i="4"/>
  <c r="K25" i="4"/>
  <c r="K33" i="4"/>
  <c r="I2" i="4"/>
  <c r="I10" i="4"/>
  <c r="I18" i="4"/>
  <c r="J23" i="4"/>
  <c r="I34" i="4"/>
  <c r="K2" i="4"/>
  <c r="J5" i="4"/>
  <c r="I8" i="4"/>
  <c r="K10" i="4"/>
  <c r="J13" i="4"/>
  <c r="I16" i="4"/>
  <c r="K18" i="4"/>
  <c r="J21" i="4"/>
  <c r="K26" i="4"/>
  <c r="J29" i="4"/>
  <c r="I32" i="4"/>
  <c r="J37" i="4"/>
  <c r="I3" i="4"/>
  <c r="J8" i="4"/>
  <c r="I11" i="4"/>
  <c r="K13" i="4"/>
  <c r="J16" i="4"/>
  <c r="I19" i="4"/>
  <c r="J24" i="4"/>
  <c r="I27" i="4"/>
  <c r="K29" i="4"/>
  <c r="J32" i="4"/>
  <c r="I35" i="4"/>
  <c r="K37" i="4"/>
  <c r="J3" i="4"/>
  <c r="K8" i="4"/>
  <c r="J11" i="4"/>
  <c r="I14" i="4"/>
  <c r="K16" i="4"/>
  <c r="J19" i="4"/>
  <c r="I22" i="4"/>
  <c r="J27" i="4"/>
  <c r="I30" i="4"/>
  <c r="K32" i="4"/>
  <c r="J35" i="4"/>
  <c r="J38" i="4"/>
  <c r="K6" i="4"/>
  <c r="J17" i="4"/>
  <c r="I28" i="4"/>
  <c r="I36" i="4"/>
  <c r="K3" i="4"/>
  <c r="J6" i="4"/>
  <c r="I9" i="4"/>
  <c r="K11" i="4"/>
  <c r="J14" i="4"/>
  <c r="I17" i="4"/>
  <c r="K19" i="4"/>
  <c r="J22" i="4"/>
  <c r="I25" i="4"/>
  <c r="K27" i="4"/>
  <c r="J30" i="4"/>
  <c r="I33" i="4"/>
  <c r="K35" i="4"/>
  <c r="J9" i="4"/>
  <c r="K14" i="4"/>
  <c r="J25" i="4"/>
  <c r="J33" i="4"/>
  <c r="I7" i="4"/>
  <c r="J12" i="4"/>
  <c r="K17" i="4"/>
  <c r="I23" i="4"/>
  <c r="J28" i="4"/>
  <c r="J36" i="4"/>
  <c r="K4" i="4"/>
  <c r="K12" i="4"/>
  <c r="K20" i="4"/>
  <c r="K28" i="4"/>
  <c r="J31" i="4"/>
  <c r="J39" i="4"/>
  <c r="I20" i="4"/>
  <c r="J20" i="4"/>
  <c r="I31" i="4"/>
  <c r="I39" i="4"/>
  <c r="J7" i="4"/>
  <c r="J15" i="4"/>
  <c r="I26" i="4"/>
  <c r="K36" i="4"/>
  <c r="B29" i="2"/>
  <c r="C18" i="4" a="1"/>
  <c r="C19" i="4" a="1"/>
  <c r="C29" i="4" a="1"/>
  <c r="C30" i="4" a="1"/>
  <c r="C30" i="4" l="1"/>
  <c r="C29" i="4"/>
  <c r="C18" i="4"/>
  <c r="C19" i="4"/>
  <c r="B4" i="8"/>
  <c r="B8" i="8"/>
  <c r="B11" i="8" a="1"/>
  <c r="C7" i="6"/>
  <c r="B11" i="2" a="1"/>
  <c r="I5" i="1" a="1"/>
  <c r="B12" i="2" l="1"/>
  <c r="C12" i="2"/>
  <c r="B13" i="2"/>
  <c r="C13" i="2"/>
  <c r="B11" i="2"/>
  <c r="C11" i="2"/>
  <c r="B16" i="2" s="1"/>
  <c r="B18" i="9"/>
  <c r="B11" i="8"/>
  <c r="B13" i="8"/>
  <c r="B15" i="8"/>
  <c r="B17" i="8"/>
  <c r="B19" i="8"/>
  <c r="B21" i="8"/>
  <c r="B23" i="8"/>
  <c r="B25" i="8"/>
  <c r="B27" i="8"/>
  <c r="B29" i="8"/>
  <c r="B31" i="8"/>
  <c r="B33" i="8"/>
  <c r="D13" i="8"/>
  <c r="D17" i="8"/>
  <c r="D21" i="8"/>
  <c r="D25" i="8"/>
  <c r="D29" i="8"/>
  <c r="E13" i="8"/>
  <c r="E23" i="8"/>
  <c r="E27" i="8"/>
  <c r="E33" i="8"/>
  <c r="B14" i="8"/>
  <c r="B20" i="8"/>
  <c r="B26" i="8"/>
  <c r="B32" i="8"/>
  <c r="C12" i="8"/>
  <c r="C18" i="8"/>
  <c r="C24" i="8"/>
  <c r="C30" i="8"/>
  <c r="D16" i="8"/>
  <c r="D22" i="8"/>
  <c r="D26" i="8"/>
  <c r="D32" i="8"/>
  <c r="E14" i="8"/>
  <c r="E16" i="8"/>
  <c r="E20" i="8"/>
  <c r="E24" i="8"/>
  <c r="E28" i="8"/>
  <c r="E32" i="8"/>
  <c r="C11" i="8"/>
  <c r="C13" i="8"/>
  <c r="C15" i="8"/>
  <c r="C17" i="8"/>
  <c r="C19" i="8"/>
  <c r="C21" i="8"/>
  <c r="C23" i="8"/>
  <c r="C25" i="8"/>
  <c r="C27" i="8"/>
  <c r="C29" i="8"/>
  <c r="C31" i="8"/>
  <c r="C33" i="8"/>
  <c r="D15" i="8"/>
  <c r="D19" i="8"/>
  <c r="D23" i="8"/>
  <c r="D27" i="8"/>
  <c r="D33" i="8"/>
  <c r="E11" i="8"/>
  <c r="E15" i="8"/>
  <c r="E17" i="8"/>
  <c r="E21" i="8"/>
  <c r="E25" i="8"/>
  <c r="E31" i="8"/>
  <c r="B16" i="8"/>
  <c r="B22" i="8"/>
  <c r="B28" i="8"/>
  <c r="C14" i="8"/>
  <c r="C20" i="8"/>
  <c r="C28" i="8"/>
  <c r="D14" i="8"/>
  <c r="D20" i="8"/>
  <c r="D28" i="8"/>
  <c r="E12" i="8"/>
  <c r="E18" i="8"/>
  <c r="E22" i="8"/>
  <c r="E30" i="8"/>
  <c r="D11" i="8"/>
  <c r="D31" i="8"/>
  <c r="E19" i="8"/>
  <c r="E29" i="8"/>
  <c r="B12" i="8"/>
  <c r="B18" i="8"/>
  <c r="B24" i="8"/>
  <c r="B30" i="8"/>
  <c r="C16" i="8"/>
  <c r="C22" i="8"/>
  <c r="C26" i="8"/>
  <c r="C32" i="8"/>
  <c r="D12" i="8"/>
  <c r="D18" i="8"/>
  <c r="D24" i="8"/>
  <c r="D30" i="8"/>
  <c r="E26" i="8"/>
  <c r="K12" i="1"/>
  <c r="I5" i="1"/>
  <c r="K7" i="1"/>
  <c r="J10" i="1"/>
  <c r="I13" i="1"/>
  <c r="K15" i="1"/>
  <c r="J18" i="1"/>
  <c r="I21" i="1"/>
  <c r="K23" i="1"/>
  <c r="J26" i="1"/>
  <c r="I29" i="1"/>
  <c r="K31" i="1"/>
  <c r="J34" i="1"/>
  <c r="I24" i="1"/>
  <c r="J29" i="1"/>
  <c r="K34" i="1"/>
  <c r="I11" i="1"/>
  <c r="I19" i="1"/>
  <c r="I27" i="1"/>
  <c r="J32" i="1"/>
  <c r="K8" i="1"/>
  <c r="J19" i="1"/>
  <c r="J27" i="1"/>
  <c r="K32" i="1"/>
  <c r="J6" i="1"/>
  <c r="J14" i="1"/>
  <c r="J22" i="1"/>
  <c r="J30" i="1"/>
  <c r="K6" i="1"/>
  <c r="K14" i="1"/>
  <c r="K22" i="1"/>
  <c r="K30" i="1"/>
  <c r="J12" i="1"/>
  <c r="J20" i="1"/>
  <c r="K25" i="1"/>
  <c r="K33" i="1"/>
  <c r="I10" i="1"/>
  <c r="J15" i="1"/>
  <c r="K20" i="1"/>
  <c r="K28" i="1"/>
  <c r="I34" i="1"/>
  <c r="J5" i="1"/>
  <c r="I8" i="1"/>
  <c r="K10" i="1"/>
  <c r="J13" i="1"/>
  <c r="I16" i="1"/>
  <c r="K18" i="1"/>
  <c r="J21" i="1"/>
  <c r="K26" i="1"/>
  <c r="I32" i="1"/>
  <c r="K21" i="1"/>
  <c r="K29" i="1"/>
  <c r="I14" i="1"/>
  <c r="K24" i="1"/>
  <c r="J35" i="1"/>
  <c r="K11" i="1"/>
  <c r="K19" i="1"/>
  <c r="K27" i="1"/>
  <c r="K35" i="1"/>
  <c r="I12" i="1"/>
  <c r="I20" i="1"/>
  <c r="I28" i="1"/>
  <c r="I36" i="1"/>
  <c r="I7" i="1"/>
  <c r="K17" i="1"/>
  <c r="J28" i="1"/>
  <c r="K5" i="1"/>
  <c r="J8" i="1"/>
  <c r="K13" i="1"/>
  <c r="J16" i="1"/>
  <c r="J24" i="1"/>
  <c r="I35" i="1"/>
  <c r="I6" i="1"/>
  <c r="J11" i="1"/>
  <c r="K16" i="1"/>
  <c r="I22" i="1"/>
  <c r="I30" i="1"/>
  <c r="I9" i="1"/>
  <c r="I17" i="1"/>
  <c r="I25" i="1"/>
  <c r="I33" i="1"/>
  <c r="J9" i="1"/>
  <c r="J17" i="1"/>
  <c r="J25" i="1"/>
  <c r="J33" i="1"/>
  <c r="K9" i="1"/>
  <c r="I15" i="1"/>
  <c r="I23" i="1"/>
  <c r="I31" i="1"/>
  <c r="J36" i="1"/>
  <c r="J7" i="1"/>
  <c r="I18" i="1"/>
  <c r="I26" i="1"/>
  <c r="J31" i="1"/>
  <c r="K36" i="1"/>
  <c r="J23" i="1"/>
  <c r="E23" i="9"/>
  <c r="D23" i="9"/>
  <c r="E22" i="9"/>
  <c r="E21" i="9"/>
  <c r="B17" i="9"/>
  <c r="B16" i="9"/>
  <c r="E15" i="9"/>
  <c r="B15" i="9"/>
  <c r="J2" i="9" s="1"/>
  <c r="D12" i="9"/>
  <c r="E11" i="9"/>
  <c r="C11" i="9"/>
  <c r="D10" i="9"/>
  <c r="J9" i="9"/>
  <c r="H9" i="9"/>
  <c r="J8" i="9"/>
  <c r="H8" i="9"/>
  <c r="J7" i="9"/>
  <c r="H7" i="9"/>
  <c r="H6" i="9"/>
  <c r="H5" i="9"/>
  <c r="J4" i="9"/>
  <c r="H4" i="9"/>
  <c r="J3" i="9"/>
  <c r="G16" i="9" a="1"/>
  <c r="B26" i="1" a="1"/>
  <c r="B27" i="1" a="1"/>
  <c r="H38" i="9" a="1"/>
  <c r="H15" i="8"/>
  <c r="I16" i="9" l="1"/>
  <c r="H21" i="9"/>
  <c r="G26" i="9"/>
  <c r="H18" i="9"/>
  <c r="G23" i="9"/>
  <c r="S27" i="9"/>
  <c r="G20" i="9"/>
  <c r="S24" i="9"/>
  <c r="G17" i="9"/>
  <c r="S21" i="9"/>
  <c r="R26" i="9"/>
  <c r="K18" i="9"/>
  <c r="J23" i="9"/>
  <c r="I28" i="9"/>
  <c r="M26" i="9"/>
  <c r="N26" i="9"/>
  <c r="G27" i="9"/>
  <c r="R28" i="9"/>
  <c r="H16" i="9"/>
  <c r="J22" i="9"/>
  <c r="O27" i="9"/>
  <c r="L26" i="9"/>
  <c r="L17" i="9"/>
  <c r="J27" i="9"/>
  <c r="K19" i="9"/>
  <c r="K16" i="9"/>
  <c r="I26" i="9"/>
  <c r="J18" i="9"/>
  <c r="H28" i="9"/>
  <c r="M24" i="9"/>
  <c r="P16" i="9"/>
  <c r="G19" i="9"/>
  <c r="R22" i="9"/>
  <c r="G21" i="9"/>
  <c r="S22" i="9"/>
  <c r="R24" i="9"/>
  <c r="R21" i="9"/>
  <c r="R18" i="9"/>
  <c r="P28" i="9"/>
  <c r="H25" i="9"/>
  <c r="M18" i="9"/>
  <c r="L20" i="9"/>
  <c r="Q27" i="9"/>
  <c r="N24" i="9"/>
  <c r="L16" i="9"/>
  <c r="I25" i="9"/>
  <c r="H24" i="9"/>
  <c r="Q16" i="9"/>
  <c r="P21" i="9"/>
  <c r="O26" i="9"/>
  <c r="P18" i="9"/>
  <c r="O23" i="9"/>
  <c r="N28" i="9"/>
  <c r="O20" i="9"/>
  <c r="N25" i="9"/>
  <c r="O17" i="9"/>
  <c r="N22" i="9"/>
  <c r="M27" i="9"/>
  <c r="S18" i="9"/>
  <c r="R23" i="9"/>
  <c r="Q28" i="9"/>
  <c r="J28" i="9"/>
  <c r="K28" i="9"/>
  <c r="L28" i="9"/>
  <c r="I19" i="9"/>
  <c r="P19" i="9"/>
  <c r="G24" i="9"/>
  <c r="G16" i="9"/>
  <c r="K22" i="9"/>
  <c r="J24" i="9"/>
  <c r="J21" i="9"/>
  <c r="I23" i="9"/>
  <c r="N19" i="9"/>
  <c r="O16" i="9"/>
  <c r="I17" i="9"/>
  <c r="P22" i="9"/>
  <c r="Q25" i="9"/>
  <c r="G18" i="9"/>
  <c r="R27" i="9"/>
  <c r="S19" i="9"/>
  <c r="S16" i="9"/>
  <c r="Q26" i="9"/>
  <c r="Q23" i="9"/>
  <c r="I20" i="9"/>
  <c r="L18" i="9"/>
  <c r="N18" i="9"/>
  <c r="R25" i="9"/>
  <c r="I27" i="9"/>
  <c r="P17" i="9"/>
  <c r="H27" i="9"/>
  <c r="O18" i="9"/>
  <c r="N23" i="9"/>
  <c r="M28" i="9"/>
  <c r="N20" i="9"/>
  <c r="M25" i="9"/>
  <c r="N17" i="9"/>
  <c r="M22" i="9"/>
  <c r="L27" i="9"/>
  <c r="M19" i="9"/>
  <c r="L24" i="9"/>
  <c r="N16" i="9"/>
  <c r="Q20" i="9"/>
  <c r="P25" i="9"/>
  <c r="Q19" i="9"/>
  <c r="J20" i="9"/>
  <c r="K20" i="9"/>
  <c r="I22" i="9"/>
  <c r="R17" i="9"/>
  <c r="J17" i="9"/>
  <c r="S28" i="9"/>
  <c r="P27" i="9"/>
  <c r="M20" i="9"/>
  <c r="M17" i="9"/>
  <c r="K27" i="9"/>
  <c r="K24" i="9"/>
  <c r="J26" i="9"/>
  <c r="N27" i="9"/>
  <c r="J25" i="9"/>
  <c r="R20" i="9"/>
  <c r="J19" i="9"/>
  <c r="I24" i="9"/>
  <c r="J16" i="9"/>
  <c r="I21" i="9"/>
  <c r="H26" i="9"/>
  <c r="I18" i="9"/>
  <c r="H23" i="9"/>
  <c r="G28" i="9"/>
  <c r="H20" i="9"/>
  <c r="G25" i="9"/>
  <c r="M16" i="9"/>
  <c r="L21" i="9"/>
  <c r="K26" i="9"/>
  <c r="N21" i="9"/>
  <c r="O21" i="9"/>
  <c r="H22" i="9"/>
  <c r="S23" i="9"/>
  <c r="O19" i="9"/>
  <c r="K17" i="9"/>
  <c r="Q17" i="9"/>
  <c r="S17" i="9"/>
  <c r="R19" i="9"/>
  <c r="Q24" i="9"/>
  <c r="R16" i="9"/>
  <c r="Q21" i="9"/>
  <c r="P26" i="9"/>
  <c r="Q18" i="9"/>
  <c r="P23" i="9"/>
  <c r="O28" i="9"/>
  <c r="P20" i="9"/>
  <c r="O25" i="9"/>
  <c r="H17" i="9"/>
  <c r="G22" i="9"/>
  <c r="S26" i="9"/>
  <c r="K23" i="9"/>
  <c r="L23" i="9"/>
  <c r="M23" i="9"/>
  <c r="K25" i="9"/>
  <c r="Q22" i="9"/>
  <c r="H19" i="9"/>
  <c r="S20" i="9"/>
  <c r="M21" i="9"/>
  <c r="L25" i="9"/>
  <c r="L22" i="9"/>
  <c r="L19" i="9"/>
  <c r="K21" i="9"/>
  <c r="O22" i="9"/>
  <c r="P24" i="9"/>
  <c r="S25" i="9"/>
  <c r="O24" i="9"/>
  <c r="B26" i="1"/>
  <c r="B27" i="1"/>
  <c r="B21" i="9"/>
  <c r="J5" i="9"/>
  <c r="J6" i="9"/>
  <c r="B23" i="9"/>
  <c r="B22" i="9"/>
  <c r="H39" i="9"/>
  <c r="I38" i="9"/>
  <c r="H40" i="9"/>
  <c r="I39" i="9"/>
  <c r="I40" i="9"/>
  <c r="I41" i="9"/>
  <c r="H38" i="9"/>
  <c r="H42" i="9"/>
  <c r="H41" i="9"/>
  <c r="I42" i="9"/>
  <c r="F37" i="9"/>
  <c r="F42" i="9"/>
  <c r="F41" i="9"/>
  <c r="F39" i="9"/>
  <c r="F36" i="9"/>
  <c r="F44" i="9"/>
  <c r="F38" i="9"/>
  <c r="F43" i="9"/>
  <c r="F45" i="9"/>
  <c r="F40" i="9"/>
  <c r="C6" i="6" l="1"/>
  <c r="B7" i="2"/>
  <c r="D8" i="8" l="1"/>
  <c r="B16" i="1"/>
  <c r="D26" i="1"/>
  <c r="B17" i="1"/>
  <c r="C10" i="4" l="1"/>
  <c r="F4" i="4"/>
  <c r="C9" i="4"/>
  <c r="D27" i="1"/>
  <c r="F5" i="4" l="1"/>
  <c r="D5" i="2"/>
  <c r="B3" i="2"/>
  <c r="B11" i="1" l="1"/>
  <c r="B12" i="1"/>
  <c r="E6" i="2" l="1"/>
  <c r="D6" i="2"/>
  <c r="B6" i="2"/>
  <c r="B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<sst xmlns="http://schemas.openxmlformats.org/spreadsheetml/2006/main" count="133" uniqueCount="109">
  <si>
    <t>zeta</t>
  </si>
  <si>
    <t>dx/dt</t>
  </si>
  <si>
    <t>dv/dt</t>
  </si>
  <si>
    <t>constraint</t>
  </si>
  <si>
    <t>solution</t>
  </si>
  <si>
    <t>constraint 1</t>
  </si>
  <si>
    <t>constraint 2</t>
  </si>
  <si>
    <t>Height</t>
  </si>
  <si>
    <t>Radius</t>
  </si>
  <si>
    <t>Vol</t>
  </si>
  <si>
    <t>I_dz</t>
  </si>
  <si>
    <t>I_dy</t>
  </si>
  <si>
    <t>Exact Vol</t>
  </si>
  <si>
    <t>What Height is needed for a volume of 1.5?</t>
  </si>
  <si>
    <t>ans</t>
  </si>
  <si>
    <t>vol</t>
  </si>
  <si>
    <t>What Radius is needed for a volume of 2?</t>
  </si>
  <si>
    <t>t</t>
  </si>
  <si>
    <t>x</t>
  </si>
  <si>
    <t>v</t>
  </si>
  <si>
    <t>peak_time</t>
  </si>
  <si>
    <t>We  demonstrate how to  customize the default behavior to achieve an overshoot of -0.2 at a peak time of 2.0 for x.</t>
  </si>
  <si>
    <t>overshoot</t>
  </si>
  <si>
    <t>R=</t>
  </si>
  <si>
    <t>d=</t>
  </si>
  <si>
    <t>mt=</t>
  </si>
  <si>
    <t>Cosntants</t>
  </si>
  <si>
    <t>Forces Formulas</t>
  </si>
  <si>
    <t>Fd=</t>
  </si>
  <si>
    <t>System Equations</t>
  </si>
  <si>
    <t>dx/dt=</t>
  </si>
  <si>
    <t>dv/dt=</t>
  </si>
  <si>
    <t>Fg=</t>
  </si>
  <si>
    <t>System Variables with initial conditions</t>
  </si>
  <si>
    <t>theta=</t>
  </si>
  <si>
    <t>Design variables with guess values</t>
  </si>
  <si>
    <t>Fp</t>
  </si>
  <si>
    <t>tf</t>
  </si>
  <si>
    <t>Constraints</t>
  </si>
  <si>
    <t>Solution</t>
  </si>
  <si>
    <t>omega</t>
  </si>
  <si>
    <t>We  demonstrate how to  customize the default behavior to achieve an overshoot of -0.2 at a peak time of 2.5 for x.</t>
  </si>
  <si>
    <t>a</t>
  </si>
  <si>
    <t>b</t>
  </si>
  <si>
    <t>f</t>
  </si>
  <si>
    <t>ODE variables</t>
  </si>
  <si>
    <t>ODE parameters</t>
  </si>
  <si>
    <t>target values</t>
  </si>
  <si>
    <t>ODE equations</t>
  </si>
  <si>
    <t>defaults</t>
  </si>
  <si>
    <t>Variables</t>
  </si>
  <si>
    <t>k</t>
  </si>
  <si>
    <t>u</t>
  </si>
  <si>
    <t>ux</t>
  </si>
  <si>
    <t>uxx</t>
  </si>
  <si>
    <t>Equations</t>
  </si>
  <si>
    <t>Left Bc</t>
  </si>
  <si>
    <t>Right Bc</t>
  </si>
  <si>
    <t>du/dt</t>
  </si>
  <si>
    <t>t= 0</t>
  </si>
  <si>
    <t>x=0</t>
  </si>
  <si>
    <t>t = 0.5</t>
  </si>
  <si>
    <t>x=.25</t>
  </si>
  <si>
    <t>t = 1</t>
  </si>
  <si>
    <t>x=.75</t>
  </si>
  <si>
    <t>x=1</t>
  </si>
  <si>
    <t>Constraint</t>
  </si>
  <si>
    <t>p</t>
  </si>
  <si>
    <t>Parameters</t>
  </si>
  <si>
    <t>objective</t>
  </si>
  <si>
    <t>Optimization with NLSOLVE</t>
  </si>
  <si>
    <t>phi_1</t>
  </si>
  <si>
    <t>phi_2</t>
  </si>
  <si>
    <t>phi_3</t>
  </si>
  <si>
    <t>phi1x</t>
  </si>
  <si>
    <t>phi2x</t>
  </si>
  <si>
    <t>phi3x</t>
  </si>
  <si>
    <t>phi1xx</t>
  </si>
  <si>
    <t>phi2xx</t>
  </si>
  <si>
    <t>phi3xx</t>
  </si>
  <si>
    <t>System variables</t>
  </si>
  <si>
    <t>System parameters</t>
  </si>
  <si>
    <t>BCs</t>
  </si>
  <si>
    <t>Observed phi2 values @ x=lc</t>
  </si>
  <si>
    <t>lc</t>
  </si>
  <si>
    <t>N</t>
  </si>
  <si>
    <t>phi2</t>
  </si>
  <si>
    <t>ls</t>
  </si>
  <si>
    <t>la</t>
  </si>
  <si>
    <t>beta</t>
  </si>
  <si>
    <t>C</t>
  </si>
  <si>
    <t>gamma</t>
  </si>
  <si>
    <t>mc</t>
  </si>
  <si>
    <t>M</t>
  </si>
  <si>
    <t>D</t>
  </si>
  <si>
    <t>Property Functions</t>
  </si>
  <si>
    <t>x domain</t>
  </si>
  <si>
    <t>sigma</t>
  </si>
  <si>
    <t>kappa</t>
  </si>
  <si>
    <t>t domain</t>
  </si>
  <si>
    <t>System RHS equations</t>
  </si>
  <si>
    <t>Regions</t>
  </si>
  <si>
    <t>EQ1</t>
  </si>
  <si>
    <t>EQ2</t>
  </si>
  <si>
    <t>EQ3</t>
  </si>
  <si>
    <t>&lt;-- Set to 1/0 to enable/disable NLSOLVE</t>
  </si>
  <si>
    <t>The solution shows that the system is underdamped with an absolute overshoot over 0.4 at approximately a peak time of 3.3.</t>
  </si>
  <si>
    <t xml:space="preserve"> In this exercise, we will customize the system response by optimizing ζ and ω to achieve an absolute overshoot of exactly 0.2 at t = 2.0 or 2.5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</si>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</sst>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0303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5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0" fontId="4" fillId="2" borderId="1" applyNumberFormat="0" applyAlignment="0" applyProtection="0"/>
    <xf numFmtId="0" fontId="6" fillId="3" borderId="0" applyNumberFormat="0" applyBorder="0" applyAlignment="0" applyProtection="0"/>
    <xf numFmtId="0" fontId="5" fillId="4" borderId="0" applyNumberFormat="0" applyBorder="0" applyAlignment="0" applyProtection="0"/>
  </cellStyleXfs>
  <cellXfs count="13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/>
    <xf numFmtId="0" fontId="0" fillId="0" borderId="0" xfId="0" applyFont="1"/>
    <xf numFmtId="0" fontId="2" fillId="0" borderId="0" xfId="0" applyFont="1"/>
    <xf numFmtId="0" fontId="3" fillId="0" borderId="0" xfId="0" applyFont="1"/>
    <xf numFmtId="0" fontId="4" fillId="2" borderId="1" xfId="1"/>
    <xf numFmtId="0" fontId="6" fillId="3" borderId="0" xfId="2"/>
    <xf numFmtId="0" fontId="5" fillId="4" borderId="0" xfId="3"/>
    <xf numFmtId="0" fontId="1" fillId="4" borderId="0" xfId="3" applyFont="1"/>
    <xf numFmtId="0" fontId="8" fillId="4" borderId="0" xfId="3" applyFont="1"/>
    <xf numFmtId="0" fontId="7" fillId="0" borderId="0" xfId="0" applyFont="1"/>
    <xf numFmtId="0" fontId="0" fillId="0" borderId="0" xfId="0" applyAlignment="1"/>
  </cellXfs>
  <cellStyles count="4">
    <cellStyle name="20% - Accent2" xfId="3" builtinId="34"/>
    <cellStyle name="Good" xfId="2" builtinId="26"/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539370078740152E-2"/>
          <c:y val="5.0925925925925923E-2"/>
          <c:w val="0.8825717410323709"/>
          <c:h val="0.9126151939340914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'2nd order system'!$J$5</c:f>
              <c:strCache>
                <c:ptCount val="1"/>
                <c:pt idx="0">
                  <c:v>x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'2nd order system'!$I$6:$I$36</c:f>
              <c:numCache>
                <c:formatCode>General</c:formatCode>
                <c:ptCount val="31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1.2000000000000002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3.1999999999999997</c:v>
                </c:pt>
                <c:pt idx="9">
                  <c:v>3.5999999999999996</c:v>
                </c:pt>
                <c:pt idx="10">
                  <c:v>3.9999999999999996</c:v>
                </c:pt>
                <c:pt idx="11">
                  <c:v>4.3999999999999995</c:v>
                </c:pt>
                <c:pt idx="12">
                  <c:v>4.8</c:v>
                </c:pt>
                <c:pt idx="13">
                  <c:v>5.2</c:v>
                </c:pt>
                <c:pt idx="14">
                  <c:v>5.6000000000000005</c:v>
                </c:pt>
                <c:pt idx="15">
                  <c:v>6.0000000000000009</c:v>
                </c:pt>
                <c:pt idx="16">
                  <c:v>6.4000000000000012</c:v>
                </c:pt>
                <c:pt idx="17">
                  <c:v>6.8000000000000016</c:v>
                </c:pt>
                <c:pt idx="18">
                  <c:v>7.200000000000002</c:v>
                </c:pt>
                <c:pt idx="19">
                  <c:v>7.6000000000000023</c:v>
                </c:pt>
                <c:pt idx="20">
                  <c:v>8.0000000000000018</c:v>
                </c:pt>
                <c:pt idx="21">
                  <c:v>8.4000000000000021</c:v>
                </c:pt>
                <c:pt idx="22">
                  <c:v>8.8000000000000025</c:v>
                </c:pt>
                <c:pt idx="23">
                  <c:v>9.2000000000000028</c:v>
                </c:pt>
                <c:pt idx="24">
                  <c:v>9.6000000000000032</c:v>
                </c:pt>
                <c:pt idx="25">
                  <c:v>10.000000000000004</c:v>
                </c:pt>
                <c:pt idx="26">
                  <c:v>10.400000000000004</c:v>
                </c:pt>
                <c:pt idx="27">
                  <c:v>10.800000000000004</c:v>
                </c:pt>
                <c:pt idx="28">
                  <c:v>11.200000000000005</c:v>
                </c:pt>
                <c:pt idx="29">
                  <c:v>11.600000000000005</c:v>
                </c:pt>
                <c:pt idx="30">
                  <c:v>12</c:v>
                </c:pt>
              </c:numCache>
            </c:numRef>
          </c:xVal>
          <c:yVal>
            <c:numRef>
              <c:f>'2nd order system'!$J$6:$J$36</c:f>
              <c:numCache>
                <c:formatCode>General</c:formatCode>
                <c:ptCount val="31"/>
                <c:pt idx="0">
                  <c:v>1</c:v>
                </c:pt>
                <c:pt idx="1">
                  <c:v>0.92605665689469674</c:v>
                </c:pt>
                <c:pt idx="2">
                  <c:v>0.73300419831636165</c:v>
                </c:pt>
                <c:pt idx="3">
                  <c:v>0.47005327980398859</c:v>
                </c:pt>
                <c:pt idx="4">
                  <c:v>0.18750657052297812</c:v>
                </c:pt>
                <c:pt idx="5">
                  <c:v>-7.0643227114647877E-2</c:v>
                </c:pt>
                <c:pt idx="6">
                  <c:v>-0.2718972184424856</c:v>
                </c:pt>
                <c:pt idx="7">
                  <c:v>-0.39777378936249735</c:v>
                </c:pt>
                <c:pt idx="8">
                  <c:v>-0.4438994702653723</c:v>
                </c:pt>
                <c:pt idx="9">
                  <c:v>-0.41815011304212285</c:v>
                </c:pt>
                <c:pt idx="10">
                  <c:v>-0.33723419011107164</c:v>
                </c:pt>
                <c:pt idx="11">
                  <c:v>-0.22272902365000419</c:v>
                </c:pt>
                <c:pt idx="12">
                  <c:v>-9.7109293964725799E-2</c:v>
                </c:pt>
                <c:pt idx="13">
                  <c:v>1.9631616305890651E-2</c:v>
                </c:pt>
                <c:pt idx="14">
                  <c:v>0.11240629022380691</c:v>
                </c:pt>
                <c:pt idx="15">
                  <c:v>0.17227496137871889</c:v>
                </c:pt>
                <c:pt idx="16">
                  <c:v>0.19663973959317241</c:v>
                </c:pt>
                <c:pt idx="17">
                  <c:v>0.18845555983740134</c:v>
                </c:pt>
                <c:pt idx="18">
                  <c:v>0.1547844172555857</c:v>
                </c:pt>
                <c:pt idx="19">
                  <c:v>0.10506930807911109</c:v>
                </c:pt>
                <c:pt idx="20">
                  <c:v>4.9333038236706594E-2</c:v>
                </c:pt>
                <c:pt idx="21">
                  <c:v>-3.3624478948330767E-3</c:v>
                </c:pt>
                <c:pt idx="22">
                  <c:v>-4.6024672103064004E-2</c:v>
                </c:pt>
                <c:pt idx="23">
                  <c:v>-7.4365095054841929E-2</c:v>
                </c:pt>
                <c:pt idx="24">
                  <c:v>-8.6928035945346011E-2</c:v>
                </c:pt>
                <c:pt idx="25">
                  <c:v>-8.4775801691388694E-2</c:v>
                </c:pt>
                <c:pt idx="26">
                  <c:v>-7.0882156578178965E-2</c:v>
                </c:pt>
                <c:pt idx="27">
                  <c:v>-4.9364098719892377E-2</c:v>
                </c:pt>
                <c:pt idx="28">
                  <c:v>-2.4682409736044117E-2</c:v>
                </c:pt>
                <c:pt idx="29">
                  <c:v>-9.436618972159562E-4</c:v>
                </c:pt>
                <c:pt idx="30">
                  <c:v>1.8627078889442823E-2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CF7-4387-B352-066278BDE760}"/>
            </c:ext>
          </c:extLst>
        </c:ser>
        <c:ser>
          <c:idx val="1"/>
          <c:order val="1"/>
          <c:tx>
            <c:strRef>
              <c:f>'2nd order system'!$K$5</c:f>
              <c:strCache>
                <c:ptCount val="1"/>
                <c:pt idx="0">
                  <c:v>v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'2nd order system'!$I$6:$I$36</c:f>
              <c:numCache>
                <c:formatCode>General</c:formatCode>
                <c:ptCount val="31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1.2000000000000002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3.1999999999999997</c:v>
                </c:pt>
                <c:pt idx="9">
                  <c:v>3.5999999999999996</c:v>
                </c:pt>
                <c:pt idx="10">
                  <c:v>3.9999999999999996</c:v>
                </c:pt>
                <c:pt idx="11">
                  <c:v>4.3999999999999995</c:v>
                </c:pt>
                <c:pt idx="12">
                  <c:v>4.8</c:v>
                </c:pt>
                <c:pt idx="13">
                  <c:v>5.2</c:v>
                </c:pt>
                <c:pt idx="14">
                  <c:v>5.6000000000000005</c:v>
                </c:pt>
                <c:pt idx="15">
                  <c:v>6.0000000000000009</c:v>
                </c:pt>
                <c:pt idx="16">
                  <c:v>6.4000000000000012</c:v>
                </c:pt>
                <c:pt idx="17">
                  <c:v>6.8000000000000016</c:v>
                </c:pt>
                <c:pt idx="18">
                  <c:v>7.200000000000002</c:v>
                </c:pt>
                <c:pt idx="19">
                  <c:v>7.6000000000000023</c:v>
                </c:pt>
                <c:pt idx="20">
                  <c:v>8.0000000000000018</c:v>
                </c:pt>
                <c:pt idx="21">
                  <c:v>8.4000000000000021</c:v>
                </c:pt>
                <c:pt idx="22">
                  <c:v>8.8000000000000025</c:v>
                </c:pt>
                <c:pt idx="23">
                  <c:v>9.2000000000000028</c:v>
                </c:pt>
                <c:pt idx="24">
                  <c:v>9.6000000000000032</c:v>
                </c:pt>
                <c:pt idx="25">
                  <c:v>10.000000000000004</c:v>
                </c:pt>
                <c:pt idx="26">
                  <c:v>10.400000000000004</c:v>
                </c:pt>
                <c:pt idx="27">
                  <c:v>10.800000000000004</c:v>
                </c:pt>
                <c:pt idx="28">
                  <c:v>11.200000000000005</c:v>
                </c:pt>
                <c:pt idx="29">
                  <c:v>11.600000000000005</c:v>
                </c:pt>
                <c:pt idx="30">
                  <c:v>12</c:v>
                </c:pt>
              </c:numCache>
            </c:numRef>
          </c:xVal>
          <c:yVal>
            <c:numRef>
              <c:f>'2nd order system'!$K$6:$K$36</c:f>
              <c:numCache>
                <c:formatCode>General</c:formatCode>
                <c:ptCount val="31"/>
                <c:pt idx="0">
                  <c:v>0</c:v>
                </c:pt>
                <c:pt idx="1">
                  <c:v>-0.35295302636130998</c:v>
                </c:pt>
                <c:pt idx="2">
                  <c:v>-0.59143151024392149</c:v>
                </c:pt>
                <c:pt idx="3">
                  <c:v>-0.702042886947016</c:v>
                </c:pt>
                <c:pt idx="4">
                  <c:v>-0.69214530911018313</c:v>
                </c:pt>
                <c:pt idx="5">
                  <c:v>-0.5850004540907684</c:v>
                </c:pt>
                <c:pt idx="6">
                  <c:v>-0.41357097540877785</c:v>
                </c:pt>
                <c:pt idx="7">
                  <c:v>-0.21402976762511211</c:v>
                </c:pt>
                <c:pt idx="8">
                  <c:v>-2.0043313911754526E-2</c:v>
                </c:pt>
                <c:pt idx="9">
                  <c:v>0.14165006826148879</c:v>
                </c:pt>
                <c:pt idx="10">
                  <c:v>0.25377273932935829</c:v>
                </c:pt>
                <c:pt idx="11">
                  <c:v>0.30924943614698036</c:v>
                </c:pt>
                <c:pt idx="12">
                  <c:v>0.31041967713340118</c:v>
                </c:pt>
                <c:pt idx="13">
                  <c:v>0.26695979945038484</c:v>
                </c:pt>
                <c:pt idx="14">
                  <c:v>0.19317819712187656</c:v>
                </c:pt>
                <c:pt idx="15">
                  <c:v>0.10512989447837674</c:v>
                </c:pt>
                <c:pt idx="16">
                  <c:v>1.8000613177731037E-2</c:v>
                </c:pt>
                <c:pt idx="17">
                  <c:v>-5.5916056063065447E-2</c:v>
                </c:pt>
                <c:pt idx="18">
                  <c:v>-0.10842779092069171</c:v>
                </c:pt>
                <c:pt idx="19">
                  <c:v>-0.13590680059482915</c:v>
                </c:pt>
                <c:pt idx="20">
                  <c:v>-0.13895546252634994</c:v>
                </c:pt>
                <c:pt idx="21">
                  <c:v>-0.12157191006466189</c:v>
                </c:pt>
                <c:pt idx="22">
                  <c:v>-8.9940927823683542E-2</c:v>
                </c:pt>
                <c:pt idx="23">
                  <c:v>-5.1173935697711614E-2</c:v>
                </c:pt>
                <c:pt idx="24">
                  <c:v>-1.2111871035602524E-2</c:v>
                </c:pt>
                <c:pt idx="25">
                  <c:v>2.1603547111544906E-2</c:v>
                </c:pt>
                <c:pt idx="26">
                  <c:v>4.6116533070330271E-2</c:v>
                </c:pt>
                <c:pt idx="27">
                  <c:v>5.9585699989368981E-2</c:v>
                </c:pt>
                <c:pt idx="28">
                  <c:v>6.2087633860696614E-2</c:v>
                </c:pt>
                <c:pt idx="29">
                  <c:v>5.5251673422432049E-2</c:v>
                </c:pt>
                <c:pt idx="30">
                  <c:v>4.174872536877848E-2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CF7-4387-B352-066278BDE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592512"/>
        <c:axId val="668592840"/>
      </c:scatterChart>
      <c:valAx>
        <c:axId val="668592512"/>
        <c:scaling>
          <c:orientation val="minMax"/>
          <c:max val="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8592840"/>
        <c:crosses val="autoZero"/>
        <c:crossBetween val="midCat"/>
        <c:majorUnit val="1"/>
      </c:valAx>
      <c:valAx>
        <c:axId val="668592840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85925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5672484689413824"/>
          <c:y val="0.18576334208223969"/>
          <c:w val="0.18655008748906385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'Travelling Train'!$J$2</c:f>
              <c:strCache>
                <c:ptCount val="1"/>
                <c:pt idx="0">
                  <c:v>x</c:v>
                </c:pt>
              </c:strCache>
            </c:strRef>
          </c:tx>
          <c:marker>
            <c:symbol val="none"/>
          </c:marker>
          <c:cat>
            <c:numRef>
              <c:f>'Travelling Train'!$I$3:$I$39</c:f>
              <c:numCache>
                <c:formatCode>General</c:formatCode>
                <c:ptCount val="37"/>
                <c:pt idx="0">
                  <c:v>0</c:v>
                </c:pt>
                <c:pt idx="1">
                  <c:v>125</c:v>
                </c:pt>
                <c:pt idx="2">
                  <c:v>250</c:v>
                </c:pt>
                <c:pt idx="3">
                  <c:v>375</c:v>
                </c:pt>
                <c:pt idx="4">
                  <c:v>500</c:v>
                </c:pt>
                <c:pt idx="5">
                  <c:v>625</c:v>
                </c:pt>
                <c:pt idx="6">
                  <c:v>750</c:v>
                </c:pt>
                <c:pt idx="7">
                  <c:v>875</c:v>
                </c:pt>
                <c:pt idx="8">
                  <c:v>1000</c:v>
                </c:pt>
                <c:pt idx="9">
                  <c:v>1125</c:v>
                </c:pt>
                <c:pt idx="10">
                  <c:v>1250</c:v>
                </c:pt>
                <c:pt idx="11">
                  <c:v>1375</c:v>
                </c:pt>
                <c:pt idx="12">
                  <c:v>1500</c:v>
                </c:pt>
                <c:pt idx="13">
                  <c:v>1625</c:v>
                </c:pt>
                <c:pt idx="14">
                  <c:v>1750</c:v>
                </c:pt>
                <c:pt idx="15">
                  <c:v>1875</c:v>
                </c:pt>
                <c:pt idx="16">
                  <c:v>2000</c:v>
                </c:pt>
                <c:pt idx="17">
                  <c:v>2125</c:v>
                </c:pt>
                <c:pt idx="18">
                  <c:v>2250</c:v>
                </c:pt>
                <c:pt idx="19">
                  <c:v>2375</c:v>
                </c:pt>
                <c:pt idx="20">
                  <c:v>2500</c:v>
                </c:pt>
                <c:pt idx="21">
                  <c:v>2625</c:v>
                </c:pt>
                <c:pt idx="22">
                  <c:v>2750</c:v>
                </c:pt>
                <c:pt idx="23">
                  <c:v>2875</c:v>
                </c:pt>
                <c:pt idx="24">
                  <c:v>3000</c:v>
                </c:pt>
                <c:pt idx="25">
                  <c:v>3125</c:v>
                </c:pt>
                <c:pt idx="26">
                  <c:v>3250</c:v>
                </c:pt>
                <c:pt idx="27">
                  <c:v>3375</c:v>
                </c:pt>
                <c:pt idx="28">
                  <c:v>3500</c:v>
                </c:pt>
                <c:pt idx="29">
                  <c:v>3625</c:v>
                </c:pt>
                <c:pt idx="30">
                  <c:v>3750</c:v>
                </c:pt>
                <c:pt idx="31">
                  <c:v>3875</c:v>
                </c:pt>
                <c:pt idx="32">
                  <c:v>4000</c:v>
                </c:pt>
                <c:pt idx="33">
                  <c:v>4125</c:v>
                </c:pt>
                <c:pt idx="34">
                  <c:v>4250</c:v>
                </c:pt>
                <c:pt idx="35">
                  <c:v>4375</c:v>
                </c:pt>
                <c:pt idx="36">
                  <c:v>4500</c:v>
                </c:pt>
              </c:numCache>
            </c:numRef>
          </c:cat>
          <c:val>
            <c:numRef>
              <c:f>'Travelling Train'!$J$3:$J$39</c:f>
              <c:numCache>
                <c:formatCode>General</c:formatCode>
                <c:ptCount val="37"/>
                <c:pt idx="0">
                  <c:v>0</c:v>
                </c:pt>
                <c:pt idx="1">
                  <c:v>6115.4631006955469</c:v>
                </c:pt>
                <c:pt idx="2">
                  <c:v>23618.421138541344</c:v>
                </c:pt>
                <c:pt idx="3">
                  <c:v>50345.741628919917</c:v>
                </c:pt>
                <c:pt idx="4">
                  <c:v>83614.114435214826</c:v>
                </c:pt>
                <c:pt idx="5">
                  <c:v>120912.87237532671</c:v>
                </c:pt>
                <c:pt idx="6">
                  <c:v>160244.81349897198</c:v>
                </c:pt>
                <c:pt idx="7">
                  <c:v>200165.57742793302</c:v>
                </c:pt>
                <c:pt idx="8">
                  <c:v>239672.81908018267</c:v>
                </c:pt>
                <c:pt idx="9">
                  <c:v>278105.87043910753</c:v>
                </c:pt>
                <c:pt idx="10">
                  <c:v>315027.66779708496</c:v>
                </c:pt>
                <c:pt idx="11">
                  <c:v>350145.53212018218</c:v>
                </c:pt>
                <c:pt idx="12">
                  <c:v>383269.83461277635</c:v>
                </c:pt>
                <c:pt idx="13">
                  <c:v>414271.16243219166</c:v>
                </c:pt>
                <c:pt idx="14">
                  <c:v>443058.62526845583</c:v>
                </c:pt>
                <c:pt idx="15">
                  <c:v>469577.23184755683</c:v>
                </c:pt>
                <c:pt idx="16">
                  <c:v>493781.27457963425</c:v>
                </c:pt>
                <c:pt idx="17">
                  <c:v>515639.8471813408</c:v>
                </c:pt>
                <c:pt idx="18">
                  <c:v>535134.99064812029</c:v>
                </c:pt>
                <c:pt idx="19">
                  <c:v>552249.83566162735</c:v>
                </c:pt>
                <c:pt idx="20">
                  <c:v>566971.22329484427</c:v>
                </c:pt>
                <c:pt idx="21">
                  <c:v>579292.15720095148</c:v>
                </c:pt>
                <c:pt idx="22">
                  <c:v>589207.63061079988</c:v>
                </c:pt>
                <c:pt idx="23">
                  <c:v>596712.84831282287</c:v>
                </c:pt>
                <c:pt idx="24">
                  <c:v>601804.57456253807</c:v>
                </c:pt>
                <c:pt idx="25">
                  <c:v>604479.25508698134</c:v>
                </c:pt>
                <c:pt idx="26">
                  <c:v>604737.49015820154</c:v>
                </c:pt>
                <c:pt idx="27">
                  <c:v>602579.8800482481</c:v>
                </c:pt>
                <c:pt idx="28">
                  <c:v>598007.02502917021</c:v>
                </c:pt>
                <c:pt idx="29">
                  <c:v>591021.53403674578</c:v>
                </c:pt>
                <c:pt idx="30">
                  <c:v>581622.49601435778</c:v>
                </c:pt>
                <c:pt idx="31">
                  <c:v>569814.3919614621</c:v>
                </c:pt>
                <c:pt idx="32">
                  <c:v>555605.50989593205</c:v>
                </c:pt>
                <c:pt idx="33">
                  <c:v>539004.13783564104</c:v>
                </c:pt>
                <c:pt idx="34">
                  <c:v>520019.31698647194</c:v>
                </c:pt>
                <c:pt idx="35">
                  <c:v>498664.32057323749</c:v>
                </c:pt>
                <c:pt idx="36">
                  <c:v>474960.99072094797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16-4733-9250-2F39E63B7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777488"/>
        <c:axId val="167778048"/>
      </c:lineChart>
      <c:lineChart>
        <c:grouping val="standard"/>
        <c:varyColors val="0"/>
        <c:ser>
          <c:idx val="2"/>
          <c:order val="1"/>
          <c:tx>
            <c:strRef>
              <c:f>'Travelling Train'!$K$2</c:f>
              <c:strCache>
                <c:ptCount val="1"/>
                <c:pt idx="0">
                  <c:v>v</c:v>
                </c:pt>
              </c:strCache>
            </c:strRef>
          </c:tx>
          <c:marker>
            <c:symbol val="none"/>
          </c:marker>
          <c:val>
            <c:numRef>
              <c:f>'Travelling Train'!$K$3:$K$39</c:f>
              <c:numCache>
                <c:formatCode>General</c:formatCode>
                <c:ptCount val="37"/>
                <c:pt idx="0">
                  <c:v>0</c:v>
                </c:pt>
                <c:pt idx="1">
                  <c:v>96.667155486061688</c:v>
                </c:pt>
                <c:pt idx="2">
                  <c:v>180.37566258024347</c:v>
                </c:pt>
                <c:pt idx="3">
                  <c:v>243.58152916450942</c:v>
                </c:pt>
                <c:pt idx="4">
                  <c:v>285.31666793439535</c:v>
                </c:pt>
                <c:pt idx="5">
                  <c:v>308.8177628685911</c:v>
                </c:pt>
                <c:pt idx="6">
                  <c:v>318.60753780159268</c:v>
                </c:pt>
                <c:pt idx="7">
                  <c:v>318.777568600834</c:v>
                </c:pt>
                <c:pt idx="8">
                  <c:v>312.47881751335916</c:v>
                </c:pt>
                <c:pt idx="9">
                  <c:v>301.88944027121323</c:v>
                </c:pt>
                <c:pt idx="10">
                  <c:v>288.46723113774857</c:v>
                </c:pt>
                <c:pt idx="11">
                  <c:v>273.17840954657589</c:v>
                </c:pt>
                <c:pt idx="12">
                  <c:v>256.63820991789788</c:v>
                </c:pt>
                <c:pt idx="13">
                  <c:v>239.25148148492536</c:v>
                </c:pt>
                <c:pt idx="14">
                  <c:v>221.29596882933893</c:v>
                </c:pt>
                <c:pt idx="15">
                  <c:v>202.93153750768536</c:v>
                </c:pt>
                <c:pt idx="16">
                  <c:v>184.28554920653639</c:v>
                </c:pt>
                <c:pt idx="17">
                  <c:v>165.44394697723888</c:v>
                </c:pt>
                <c:pt idx="18">
                  <c:v>146.45264435837564</c:v>
                </c:pt>
                <c:pt idx="19">
                  <c:v>127.35456106794499</c:v>
                </c:pt>
                <c:pt idx="20">
                  <c:v>108.18264905380096</c:v>
                </c:pt>
                <c:pt idx="21">
                  <c:v>88.955067134687141</c:v>
                </c:pt>
                <c:pt idx="22">
                  <c:v>69.685091725757303</c:v>
                </c:pt>
                <c:pt idx="23">
                  <c:v>50.38591750674945</c:v>
                </c:pt>
                <c:pt idx="24">
                  <c:v>31.067748606175527</c:v>
                </c:pt>
                <c:pt idx="25">
                  <c:v>11.738454082547264</c:v>
                </c:pt>
                <c:pt idx="26">
                  <c:v>-7.5949368870883305</c:v>
                </c:pt>
                <c:pt idx="27">
                  <c:v>-26.925395125684243</c:v>
                </c:pt>
                <c:pt idx="28">
                  <c:v>-46.245891456193498</c:v>
                </c:pt>
                <c:pt idx="29">
                  <c:v>-65.546132491328322</c:v>
                </c:pt>
                <c:pt idx="30">
                  <c:v>-84.824400807363361</c:v>
                </c:pt>
                <c:pt idx="31">
                  <c:v>-104.06762654775329</c:v>
                </c:pt>
                <c:pt idx="32">
                  <c:v>-123.25546098952688</c:v>
                </c:pt>
                <c:pt idx="33">
                  <c:v>-142.36755540971288</c:v>
                </c:pt>
                <c:pt idx="34">
                  <c:v>-161.38158972584938</c:v>
                </c:pt>
                <c:pt idx="35">
                  <c:v>-180.26361907533615</c:v>
                </c:pt>
                <c:pt idx="36">
                  <c:v>-198.9563853269882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6-4733-9250-2F39E63B7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779168"/>
        <c:axId val="167778608"/>
      </c:lineChart>
      <c:catAx>
        <c:axId val="16777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7778048"/>
        <c:crosses val="autoZero"/>
        <c:auto val="1"/>
        <c:lblAlgn val="ctr"/>
        <c:lblOffset val="100"/>
        <c:noMultiLvlLbl val="0"/>
      </c:catAx>
      <c:valAx>
        <c:axId val="1677780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777488"/>
        <c:crosses val="autoZero"/>
        <c:crossBetween val="between"/>
      </c:valAx>
      <c:valAx>
        <c:axId val="16777860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67779168"/>
        <c:crosses val="max"/>
        <c:crossBetween val="between"/>
      </c:valAx>
      <c:catAx>
        <c:axId val="167779168"/>
        <c:scaling>
          <c:orientation val="minMax"/>
        </c:scaling>
        <c:delete val="1"/>
        <c:axPos val="b"/>
        <c:majorTickMark val="out"/>
        <c:minorTickMark val="none"/>
        <c:tickLblPos val="nextTo"/>
        <c:crossAx val="16777860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43303608923884518"/>
          <c:y val="0.64776428988043167"/>
          <c:w val="0.18948337707786528"/>
          <c:h val="8.3717191601049873E-2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en-US" sz="1400" b="0"/>
              <a:t>Snapshot</a:t>
            </a:r>
            <a:r>
              <a:rPr lang="en-US" sz="1400" b="0" baseline="0"/>
              <a:t> views of u at different times</a:t>
            </a:r>
          </a:p>
          <a:p>
            <a:pPr>
              <a:defRPr sz="1400" b="0"/>
            </a:pPr>
            <a:endParaRPr lang="en-US" sz="1400" b="0"/>
          </a:p>
        </c:rich>
      </c:tx>
      <c:layout>
        <c:manualLayout>
          <c:xMode val="edge"/>
          <c:yMode val="edge"/>
          <c:x val="0.15840579710144928"/>
          <c:y val="1.46521857181645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685067899121305"/>
          <c:y val="0.15603049618797651"/>
          <c:w val="0.76410960858153598"/>
          <c:h val="0.70197879111264949"/>
        </c:manualLayout>
      </c:layout>
      <c:scatterChart>
        <c:scatterStyle val="smoothMarker"/>
        <c:varyColors val="0"/>
        <c:ser>
          <c:idx val="1"/>
          <c:order val="1"/>
          <c:tx>
            <c:v>t = 0.5</c:v>
          </c:tx>
          <c:marker>
            <c:symbol val="none"/>
          </c:marker>
          <c:xVal>
            <c:numLit>
              <c:formatCode>General</c:formatCode>
              <c:ptCount val="21"/>
              <c:pt idx="0">
                <c:v>0</c:v>
              </c:pt>
              <c:pt idx="1">
                <c:v>0.05</c:v>
              </c:pt>
              <c:pt idx="2">
                <c:v>0.1</c:v>
              </c:pt>
              <c:pt idx="3">
                <c:v>0.15000000000000002</c:v>
              </c:pt>
              <c:pt idx="4">
                <c:v>0.2</c:v>
              </c:pt>
              <c:pt idx="5">
                <c:v>0.25</c:v>
              </c:pt>
              <c:pt idx="6">
                <c:v>0.3</c:v>
              </c:pt>
              <c:pt idx="7">
                <c:v>0.35</c:v>
              </c:pt>
              <c:pt idx="8">
                <c:v>0.39999999999999997</c:v>
              </c:pt>
              <c:pt idx="9">
                <c:v>0.44999999999999996</c:v>
              </c:pt>
              <c:pt idx="10">
                <c:v>0.49999999999999994</c:v>
              </c:pt>
              <c:pt idx="11">
                <c:v>0.54999999999999993</c:v>
              </c:pt>
              <c:pt idx="12">
                <c:v>0.6</c:v>
              </c:pt>
              <c:pt idx="13">
                <c:v>0.65</c:v>
              </c:pt>
              <c:pt idx="14">
                <c:v>0.70000000000000007</c:v>
              </c:pt>
              <c:pt idx="15">
                <c:v>0.75000000000000011</c:v>
              </c:pt>
              <c:pt idx="16">
                <c:v>0.80000000000000016</c:v>
              </c:pt>
              <c:pt idx="17">
                <c:v>0.8500000000000002</c:v>
              </c:pt>
              <c:pt idx="18">
                <c:v>0.90000000000000024</c:v>
              </c:pt>
              <c:pt idx="19">
                <c:v>0.95000000000000029</c:v>
              </c:pt>
              <c:pt idx="20">
                <c:v>1</c:v>
              </c:pt>
            </c:numLit>
          </c:xVal>
          <c:yVal>
            <c:numLit>
              <c:formatCode>General</c:formatCode>
              <c:ptCount val="21"/>
              <c:pt idx="0">
                <c:v>100</c:v>
              </c:pt>
              <c:pt idx="1">
                <c:v>97.090608397693444</c:v>
              </c:pt>
              <c:pt idx="2">
                <c:v>94.19916828346237</c:v>
              </c:pt>
              <c:pt idx="3">
                <c:v>91.343519578545425</c:v>
              </c:pt>
              <c:pt idx="4">
                <c:v>88.541279624836804</c:v>
              </c:pt>
              <c:pt idx="5">
                <c:v>85.809733992196442</c:v>
              </c:pt>
              <c:pt idx="6">
                <c:v>83.165729165716783</c:v>
              </c:pt>
              <c:pt idx="7">
                <c:v>80.625568363493883</c:v>
              </c:pt>
              <c:pt idx="8">
                <c:v>78.204911027456518</c:v>
              </c:pt>
              <c:pt idx="9">
                <c:v>75.918676072075797</c:v>
              </c:pt>
              <c:pt idx="10">
                <c:v>73.78095094095795</c:v>
              </c:pt>
              <c:pt idx="11">
                <c:v>71.804904600562523</c:v>
              </c:pt>
              <c:pt idx="12">
                <c:v>70.002708283366104</c:v>
              </c:pt>
              <c:pt idx="13">
                <c:v>68.385460401025668</c:v>
              </c:pt>
              <c:pt idx="14">
                <c:v>66.963120218341544</c:v>
              </c:pt>
              <c:pt idx="15">
                <c:v>65.74444650445902</c:v>
              </c:pt>
              <c:pt idx="16">
                <c:v>64.736944734243892</c:v>
              </c:pt>
              <c:pt idx="17">
                <c:v>63.946820856545727</c:v>
              </c:pt>
              <c:pt idx="18">
                <c:v>63.378942623969287</c:v>
              </c:pt>
              <c:pt idx="19">
                <c:v>63.036809719136357</c:v>
              </c:pt>
              <c:pt idx="20">
                <c:v>62.922530485131233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138B-4A8E-A4D9-D13D19F49191}"/>
            </c:ext>
          </c:extLst>
        </c:ser>
        <c:ser>
          <c:idx val="2"/>
          <c:order val="2"/>
          <c:tx>
            <c:v>t = 1</c:v>
          </c:tx>
          <c:marker>
            <c:symbol val="none"/>
          </c:marker>
          <c:xVal>
            <c:numLit>
              <c:formatCode>General</c:formatCode>
              <c:ptCount val="21"/>
              <c:pt idx="0">
                <c:v>0</c:v>
              </c:pt>
              <c:pt idx="1">
                <c:v>0.05</c:v>
              </c:pt>
              <c:pt idx="2">
                <c:v>0.1</c:v>
              </c:pt>
              <c:pt idx="3">
                <c:v>0.15000000000000002</c:v>
              </c:pt>
              <c:pt idx="4">
                <c:v>0.2</c:v>
              </c:pt>
              <c:pt idx="5">
                <c:v>0.25</c:v>
              </c:pt>
              <c:pt idx="6">
                <c:v>0.3</c:v>
              </c:pt>
              <c:pt idx="7">
                <c:v>0.35</c:v>
              </c:pt>
              <c:pt idx="8">
                <c:v>0.39999999999999997</c:v>
              </c:pt>
              <c:pt idx="9">
                <c:v>0.44999999999999996</c:v>
              </c:pt>
              <c:pt idx="10">
                <c:v>0.49999999999999994</c:v>
              </c:pt>
              <c:pt idx="11">
                <c:v>0.54999999999999993</c:v>
              </c:pt>
              <c:pt idx="12">
                <c:v>0.6</c:v>
              </c:pt>
              <c:pt idx="13">
                <c:v>0.65</c:v>
              </c:pt>
              <c:pt idx="14">
                <c:v>0.70000000000000007</c:v>
              </c:pt>
              <c:pt idx="15">
                <c:v>0.75000000000000011</c:v>
              </c:pt>
              <c:pt idx="16">
                <c:v>0.80000000000000016</c:v>
              </c:pt>
              <c:pt idx="17">
                <c:v>0.8500000000000002</c:v>
              </c:pt>
              <c:pt idx="18">
                <c:v>0.90000000000000024</c:v>
              </c:pt>
              <c:pt idx="19">
                <c:v>0.95000000000000029</c:v>
              </c:pt>
              <c:pt idx="20">
                <c:v>1</c:v>
              </c:pt>
            </c:numLit>
          </c:xVal>
          <c:yVal>
            <c:numLit>
              <c:formatCode>General</c:formatCode>
              <c:ptCount val="21"/>
              <c:pt idx="0">
                <c:v>99.999999999999986</c:v>
              </c:pt>
              <c:pt idx="1">
                <c:v>99.152638535413132</c:v>
              </c:pt>
              <c:pt idx="2">
                <c:v>98.310508713481028</c:v>
              </c:pt>
              <c:pt idx="3">
                <c:v>97.478809637092496</c:v>
              </c:pt>
              <c:pt idx="4">
                <c:v>96.662675449226867</c:v>
              </c:pt>
              <c:pt idx="5">
                <c:v>95.867143372482715</c:v>
              </c:pt>
              <c:pt idx="6">
                <c:v>95.09712221959002</c:v>
              </c:pt>
              <c:pt idx="7">
                <c:v>94.35736176274213</c:v>
              </c:pt>
              <c:pt idx="8">
                <c:v>93.652423170230165</c:v>
              </c:pt>
              <c:pt idx="9">
                <c:v>92.986650602115333</c:v>
              </c:pt>
              <c:pt idx="10">
                <c:v>92.36414463361335</c:v>
              </c:pt>
              <c:pt idx="11">
                <c:v>91.788737008118687</c:v>
              </c:pt>
              <c:pt idx="12">
                <c:v>91.263967849490342</c:v>
              </c:pt>
              <c:pt idx="13">
                <c:v>90.793064254315553</c:v>
              </c:pt>
              <c:pt idx="14">
                <c:v>90.37892152553259</c:v>
              </c:pt>
              <c:pt idx="15">
                <c:v>90.024085833698223</c:v>
              </c:pt>
              <c:pt idx="16">
                <c:v>89.730739234428768</c:v>
              </c:pt>
              <c:pt idx="17">
                <c:v>89.500686386728162</c:v>
              </c:pt>
              <c:pt idx="18">
                <c:v>89.335343245602132</c:v>
              </c:pt>
              <c:pt idx="19">
                <c:v>89.235728142077861</c:v>
              </c:pt>
              <c:pt idx="20">
                <c:v>89.2024547193068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1-138B-4A8E-A4D9-D13D19F49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0779264"/>
        <c:axId val="250779824"/>
      </c:scatterChart>
      <c:scatterChart>
        <c:scatterStyle val="smoothMarker"/>
        <c:varyColors val="0"/>
        <c:ser>
          <c:idx val="0"/>
          <c:order val="0"/>
          <c:tx>
            <c:v>t= 0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accent1"/>
              </a:solidFill>
              <a:ln>
                <a:noFill/>
              </a:ln>
            </c:spPr>
          </c:marker>
          <c:xVal>
            <c:numLit>
              <c:formatCode>General</c:formatCode>
              <c:ptCount val="21"/>
              <c:pt idx="0">
                <c:v>0</c:v>
              </c:pt>
              <c:pt idx="1">
                <c:v>0.05</c:v>
              </c:pt>
              <c:pt idx="2">
                <c:v>0.1</c:v>
              </c:pt>
              <c:pt idx="3">
                <c:v>0.15000000000000002</c:v>
              </c:pt>
              <c:pt idx="4">
                <c:v>0.2</c:v>
              </c:pt>
              <c:pt idx="5">
                <c:v>0.25</c:v>
              </c:pt>
              <c:pt idx="6">
                <c:v>0.3</c:v>
              </c:pt>
              <c:pt idx="7">
                <c:v>0.35</c:v>
              </c:pt>
              <c:pt idx="8">
                <c:v>0.39999999999999997</c:v>
              </c:pt>
              <c:pt idx="9">
                <c:v>0.44999999999999996</c:v>
              </c:pt>
              <c:pt idx="10">
                <c:v>0.49999999999999994</c:v>
              </c:pt>
              <c:pt idx="11">
                <c:v>0.54999999999999993</c:v>
              </c:pt>
              <c:pt idx="12">
                <c:v>0.6</c:v>
              </c:pt>
              <c:pt idx="13">
                <c:v>0.65</c:v>
              </c:pt>
              <c:pt idx="14">
                <c:v>0.70000000000000007</c:v>
              </c:pt>
              <c:pt idx="15">
                <c:v>0.75000000000000011</c:v>
              </c:pt>
              <c:pt idx="16">
                <c:v>0.80000000000000016</c:v>
              </c:pt>
              <c:pt idx="17">
                <c:v>0.8500000000000002</c:v>
              </c:pt>
              <c:pt idx="18">
                <c:v>0.90000000000000024</c:v>
              </c:pt>
              <c:pt idx="19">
                <c:v>0.95000000000000029</c:v>
              </c:pt>
              <c:pt idx="20">
                <c:v>1</c:v>
              </c:pt>
            </c:numLit>
          </c:xVal>
          <c:yVal>
            <c:numLit>
              <c:formatCode>General</c:formatCode>
              <c:ptCount val="21"/>
              <c:pt idx="0">
                <c:v>100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138B-4A8E-A4D9-D13D19F49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395360"/>
        <c:axId val="717404544"/>
      </c:scatterChart>
      <c:valAx>
        <c:axId val="250779264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 sz="1600" b="0"/>
                </a:pPr>
                <a:r>
                  <a:rPr lang="en-US" sz="1600" b="0"/>
                  <a:t>x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50779824"/>
        <c:crosses val="autoZero"/>
        <c:crossBetween val="midCat"/>
      </c:valAx>
      <c:valAx>
        <c:axId val="250779824"/>
        <c:scaling>
          <c:orientation val="minMax"/>
          <c:max val="10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600" b="0"/>
                </a:pPr>
                <a:r>
                  <a:rPr lang="en-US" sz="1600" b="0"/>
                  <a:t>u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50779264"/>
        <c:crosses val="autoZero"/>
        <c:crossBetween val="midCat"/>
      </c:valAx>
      <c:valAx>
        <c:axId val="717404544"/>
        <c:scaling>
          <c:orientation val="minMax"/>
          <c:max val="100"/>
        </c:scaling>
        <c:delete val="0"/>
        <c:axPos val="r"/>
        <c:numFmt formatCode="General" sourceLinked="1"/>
        <c:majorTickMark val="out"/>
        <c:minorTickMark val="none"/>
        <c:tickLblPos val="nextTo"/>
        <c:crossAx val="717395360"/>
        <c:crosses val="max"/>
        <c:crossBetween val="midCat"/>
      </c:valAx>
      <c:valAx>
        <c:axId val="717395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17404544"/>
        <c:crosses val="autoZero"/>
        <c:crossBetween val="midCat"/>
      </c:valAx>
    </c:plotArea>
    <c:legend>
      <c:legendPos val="t"/>
      <c:layout>
        <c:manualLayout>
          <c:xMode val="edge"/>
          <c:yMode val="edge"/>
          <c:x val="0.18866997603560426"/>
          <c:y val="0.67240864122753885"/>
          <c:w val="0.67701278193884296"/>
          <c:h val="0.11350647701295402"/>
        </c:manualLayout>
      </c:layout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'Battery Parameters'!$L$17</c:f>
              <c:strCache>
                <c:ptCount val="1"/>
                <c:pt idx="0">
                  <c:v>phi_2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'Battery Parameters'!$G$18:$G$28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1</c:v>
                </c:pt>
              </c:numCache>
            </c:numRef>
          </c:xVal>
          <c:yVal>
            <c:numRef>
              <c:f>'Battery Parameters'!$L$18:$L$28</c:f>
              <c:numCache>
                <c:formatCode>General</c:formatCode>
                <c:ptCount val="11"/>
                <c:pt idx="0">
                  <c:v>0</c:v>
                </c:pt>
                <c:pt idx="1">
                  <c:v>-2.6654504319289117E-3</c:v>
                </c:pt>
                <c:pt idx="2">
                  <c:v>-4.3955794578792321E-3</c:v>
                </c:pt>
                <c:pt idx="3">
                  <c:v>-5.8144118401996358E-3</c:v>
                </c:pt>
                <c:pt idx="4">
                  <c:v>-6.9785145741995246E-3</c:v>
                </c:pt>
                <c:pt idx="5">
                  <c:v>-7.9352773417433915E-3</c:v>
                </c:pt>
                <c:pt idx="6">
                  <c:v>-8.722360618852858E-3</c:v>
                </c:pt>
                <c:pt idx="7">
                  <c:v>-9.3716641015051429E-3</c:v>
                </c:pt>
                <c:pt idx="8">
                  <c:v>-9.9081928046073197E-3</c:v>
                </c:pt>
                <c:pt idx="9">
                  <c:v>-1.0353680159055544E-2</c:v>
                </c:pt>
                <c:pt idx="10">
                  <c:v>-1.0724452393325441E-2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BEA-4B3E-A629-5CF57B1458EB}"/>
            </c:ext>
          </c:extLst>
        </c:ser>
        <c:ser>
          <c:idx val="1"/>
          <c:order val="1"/>
          <c:tx>
            <c:v>Data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'Battery Parameters'!$B$35:$B$45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1</c:v>
                </c:pt>
              </c:numCache>
            </c:numRef>
          </c:xVal>
          <c:yVal>
            <c:numRef>
              <c:f>'Battery Parameters'!$C$35:$C$45</c:f>
              <c:numCache>
                <c:formatCode>General</c:formatCode>
                <c:ptCount val="11"/>
                <c:pt idx="0">
                  <c:v>0</c:v>
                </c:pt>
                <c:pt idx="1">
                  <c:v>-2.0527053893828E-3</c:v>
                </c:pt>
                <c:pt idx="2">
                  <c:v>-3.8053799150707399E-3</c:v>
                </c:pt>
                <c:pt idx="3">
                  <c:v>-5.9445794525301802E-3</c:v>
                </c:pt>
                <c:pt idx="4">
                  <c:v>-6.6687269661542996E-3</c:v>
                </c:pt>
                <c:pt idx="5">
                  <c:v>-8.4364369692656802E-3</c:v>
                </c:pt>
                <c:pt idx="6">
                  <c:v>-9.13639773917071E-3</c:v>
                </c:pt>
                <c:pt idx="7">
                  <c:v>-9.7344913598028104E-3</c:v>
                </c:pt>
                <c:pt idx="8">
                  <c:v>-1.0031262325392899E-2</c:v>
                </c:pt>
                <c:pt idx="9">
                  <c:v>-1.00505290832789E-2</c:v>
                </c:pt>
                <c:pt idx="10">
                  <c:v>-1.03879546077153E-2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BEA-4B3E-A629-5CF57B145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341696"/>
        <c:axId val="707342352"/>
      </c:scatterChart>
      <c:valAx>
        <c:axId val="707341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7342352"/>
        <c:crosses val="autoZero"/>
        <c:crossBetween val="midCat"/>
      </c:valAx>
      <c:valAx>
        <c:axId val="70734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73416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52655249343832022"/>
          <c:y val="0.34259259259259256"/>
          <c:w val="0.27995136322245434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chart" Target="../charts/chart3.xml"/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581025</xdr:colOff>
      <xdr:row>5</xdr:row>
      <xdr:rowOff>161925</xdr:rowOff>
    </xdr:from>
    <xdr:ext cx="6362700" cy="4475584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BC71B09-1449-4053-9FA7-4DE6F1146561}"/>
            </a:ext>
          </a:extLst>
        </xdr:cNvPr>
        <xdr:cNvSpPr txBox="1"/>
      </xdr:nvSpPr>
      <xdr:spPr>
        <a:xfrm>
          <a:off x="2409825" y="1114425"/>
          <a:ext cx="6362700" cy="4475584"/>
        </a:xfrm>
        <a:prstGeom prst="rect">
          <a:avLst/>
        </a:prstGeom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Please Readme first</a:t>
          </a:r>
        </a:p>
        <a:p>
          <a:endParaRPr lang="en-US" sz="14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**</a:t>
          </a:r>
          <a:r>
            <a:rPr lang="en-US" sz="14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This workbook contains the solved  optimization examples described in </a:t>
          </a:r>
        </a:p>
        <a:p>
          <a:r>
            <a:rPr 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https://excel-works.com/manual/optimization</a:t>
          </a:r>
        </a:p>
        <a:p>
          <a:endParaRPr lang="en-US" sz="14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**</a:t>
          </a:r>
          <a:r>
            <a:rPr lang="en-US" sz="14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Before you can run the examples in this workbook, you need to download install ExceLab 7.0 Calculus Add-in from https://excel-works.com</a:t>
          </a:r>
        </a:p>
        <a:p>
          <a:endParaRPr lang="en-US" sz="14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en-US" sz="14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Note:</a:t>
          </a:r>
          <a:endParaRPr lang="en-US" sz="1400">
            <a:effectLst/>
          </a:endParaRPr>
        </a:p>
        <a:p>
          <a:pPr eaLnBrk="1" fontAlgn="auto" latinLnBrk="0" hangingPunct="1"/>
          <a:r>
            <a:rPr lang="en-US" sz="14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1) To evaluate an array formula press Ctrl+Shift+Enter </a:t>
          </a:r>
          <a:endParaRPr lang="en-US" sz="1400">
            <a:effectLst/>
          </a:endParaRPr>
        </a:p>
        <a:p>
          <a:pPr eaLnBrk="1" fontAlgn="auto" latinLnBrk="0" hangingPunct="1"/>
          <a:r>
            <a:rPr lang="en-US" sz="14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2) To evaluate a standard formula  press Enter</a:t>
          </a:r>
          <a:endParaRPr lang="en-US" sz="1400">
            <a:effectLst/>
          </a:endParaRPr>
        </a:p>
        <a:p>
          <a:r>
            <a:rPr 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3) If Excel inserts the @ symbol in the formulas the first time you open the workbook, delete it before evaluating/saving the workbook.</a:t>
          </a:r>
        </a:p>
        <a:p>
          <a:endParaRPr lang="en-US" sz="14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endParaRPr lang="en-US" sz="14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**Questions or comments? Email us at  support@excel-works.com</a:t>
          </a:r>
        </a:p>
        <a:p>
          <a:endParaRPr lang="en-US" sz="14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endParaRPr lang="en-US" sz="14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endParaRPr lang="en-US" sz="14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© ExcelWorks LLC</a:t>
          </a:r>
          <a:endParaRPr lang="en-US" sz="14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581025</xdr:colOff>
      <xdr:row>1</xdr:row>
      <xdr:rowOff>152400</xdr:rowOff>
    </xdr:from>
    <xdr:to>
      <xdr:col>15</xdr:col>
      <xdr:colOff>608758</xdr:colOff>
      <xdr:row>9</xdr:row>
      <xdr:rowOff>28400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68E981-9E7B-40A9-BCEF-FE9845C36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19425" y="342900"/>
          <a:ext cx="6733333" cy="140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0</xdr:colOff>
      <xdr:row>0</xdr:row>
      <xdr:rowOff>95250</xdr:rowOff>
    </xdr:from>
    <xdr:to>
      <xdr:col>6</xdr:col>
      <xdr:colOff>114030</xdr:colOff>
      <xdr:row>3</xdr:row>
      <xdr:rowOff>190417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257425" y="95250"/>
          <a:ext cx="2161905" cy="666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257175</xdr:colOff>
      <xdr:row>7</xdr:row>
      <xdr:rowOff>180975</xdr:rowOff>
    </xdr:from>
    <xdr:to>
      <xdr:col>18</xdr:col>
      <xdr:colOff>284680</xdr:colOff>
      <xdr:row>21</xdr:row>
      <xdr:rowOff>9213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545169C-D815-4AF7-AAAB-04B03E1EA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43275" y="1514475"/>
          <a:ext cx="8561905" cy="24952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409575</xdr:colOff>
      <xdr:row>0</xdr:row>
      <xdr:rowOff>152400</xdr:rowOff>
    </xdr:from>
    <xdr:to>
      <xdr:col>4</xdr:col>
      <xdr:colOff>323655</xdr:colOff>
      <xdr:row>2</xdr:row>
      <xdr:rowOff>133305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657475" y="152400"/>
          <a:ext cx="1561905" cy="361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257175</xdr:colOff>
      <xdr:row>13</xdr:row>
      <xdr:rowOff>47625</xdr:rowOff>
    </xdr:from>
    <xdr:to>
      <xdr:col>21</xdr:col>
      <xdr:colOff>561975</xdr:colOff>
      <xdr:row>27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D9E2E9C-0296-4B64-80B4-BFB2FE9136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166687</xdr:colOff>
      <xdr:row>2</xdr:row>
      <xdr:rowOff>109537</xdr:rowOff>
    </xdr:from>
    <xdr:to>
      <xdr:col>20</xdr:col>
      <xdr:colOff>471487</xdr:colOff>
      <xdr:row>16</xdr:row>
      <xdr:rowOff>185737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495300</xdr:colOff>
      <xdr:row>19</xdr:row>
      <xdr:rowOff>161925</xdr:rowOff>
    </xdr:from>
    <xdr:to>
      <xdr:col>28</xdr:col>
      <xdr:colOff>322576</xdr:colOff>
      <xdr:row>35</xdr:row>
      <xdr:rowOff>104401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899793-858C-4E97-9084-BB5E55F3AB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00900" y="3781425"/>
          <a:ext cx="10190476" cy="299047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1</xdr:row>
      <xdr:rowOff>123825</xdr:rowOff>
    </xdr:from>
    <xdr:to>
      <xdr:col>6</xdr:col>
      <xdr:colOff>495300</xdr:colOff>
      <xdr:row>3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2F0468-5E04-4D0B-865D-2AF908E08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314325"/>
          <a:ext cx="676275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628650</xdr:colOff>
      <xdr:row>12</xdr:row>
      <xdr:rowOff>66676</xdr:rowOff>
    </xdr:from>
    <xdr:to>
      <xdr:col>15</xdr:col>
      <xdr:colOff>443865</xdr:colOff>
      <xdr:row>27</xdr:row>
      <xdr:rowOff>43816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5C822B2-EE59-4641-A505-1F105657D6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342900</xdr:colOff>
      <xdr:row>0</xdr:row>
      <xdr:rowOff>47625</xdr:rowOff>
    </xdr:from>
    <xdr:to>
      <xdr:col>12</xdr:col>
      <xdr:colOff>161474</xdr:colOff>
      <xdr:row>11</xdr:row>
      <xdr:rowOff>18792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0E0EF1D-F57A-4701-8E18-16F5D4D1A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38675" y="47625"/>
          <a:ext cx="3609524" cy="206666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342900</xdr:colOff>
      <xdr:row>0</xdr:row>
      <xdr:rowOff>57150</xdr:rowOff>
    </xdr:from>
    <xdr:to>
      <xdr:col>17</xdr:col>
      <xdr:colOff>790575</xdr:colOff>
      <xdr:row>14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D98011-C308-454A-B0E7-424EF77565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"/>
  <sheetViews>
    <sheetView tabSelected="1" workbookViewId="0"/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3:C7"/>
  <sheetViews>
    <sheetView workbookViewId="0">
      <selection activeCell="C5" sqref="C5"/>
    </sheetView>
  </sheetViews>
  <sheetFormatPr defaultRowHeight="15" x14ac:dyDescent="0.25"/>
  <sheetData>
    <row r="3" spans="2:3" x14ac:dyDescent="0.25">
      <c r="B3" t="s">
        <v>42</v>
      </c>
      <c r="C3">
        <v>-2.0000000121419741</v>
      </c>
    </row>
    <row r="4" spans="2:3" x14ac:dyDescent="0.25">
      <c r="B4" t="s">
        <v>43</v>
      </c>
      <c r="C4">
        <v>3.0000000698128035</v>
      </c>
    </row>
    <row r="5" spans="2:3" x14ac:dyDescent="0.25">
      <c r="B5" t="s">
        <v>18</v>
      </c>
    </row>
    <row r="6" spans="2:3" x14ac:dyDescent="0.25">
      <c r="B6" t="s">
        <v>44</v>
      </c>
      <c r="C6">
        <f>1-POWER(x,2)+b</f>
        <v>4.0000000698128035</v>
      </c>
    </row>
    <row r="7" spans="2:3" x14ac:dyDescent="0.25">
      <c r="B7" t="s">
        <v>69</v>
      </c>
      <c r="C7">
        <f>_xll.QUADF(f,x,a,b)</f>
        <v>8.3333333333333233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29"/>
  <sheetViews>
    <sheetView workbookViewId="0">
      <selection activeCell="J1" sqref="J1"/>
    </sheetView>
  </sheetViews>
  <sheetFormatPr defaultRowHeight="15" x14ac:dyDescent="0.25"/>
  <cols>
    <col min="2" max="2" width="19.28515625" customWidth="1"/>
    <col min="3" max="3" width="5.42578125" customWidth="1"/>
    <col min="4" max="4" width="12.42578125" customWidth="1"/>
  </cols>
  <sheetData>
    <row r="1" spans="1:5" x14ac:dyDescent="0.25">
      <c r="A1" t="s">
        <v>7</v>
      </c>
      <c r="B1">
        <v>1</v>
      </c>
    </row>
    <row r="2" spans="1:5" x14ac:dyDescent="0.25">
      <c r="A2" t="s">
        <v>8</v>
      </c>
      <c r="B2">
        <v>1</v>
      </c>
    </row>
    <row r="3" spans="1:5" x14ac:dyDescent="0.25">
      <c r="A3" t="s">
        <v>12</v>
      </c>
      <c r="B3">
        <f>PI()*R_^2*H/3</f>
        <v>1.0471975511965976</v>
      </c>
    </row>
    <row r="5" spans="1:5" x14ac:dyDescent="0.25">
      <c r="A5" t="s">
        <v>10</v>
      </c>
      <c r="B5">
        <f>_xll.QUADF(1,Z1,z_low,H)</f>
        <v>1</v>
      </c>
      <c r="D5">
        <f>H/R_*SQRT(X1^2+Y1^2)</f>
        <v>0</v>
      </c>
    </row>
    <row r="6" spans="1:5" x14ac:dyDescent="0.25">
      <c r="A6" t="s">
        <v>11</v>
      </c>
      <c r="B6">
        <f>_xll.QUADF(B5,Y1,y_low,y_hi)</f>
        <v>1</v>
      </c>
      <c r="D6">
        <f>-SQRT(R_^2-X1^2)</f>
        <v>-1</v>
      </c>
      <c r="E6">
        <f>SQRT(R_^2-X1^2)</f>
        <v>1</v>
      </c>
    </row>
    <row r="7" spans="1:5" x14ac:dyDescent="0.25">
      <c r="A7" t="s">
        <v>9</v>
      </c>
      <c r="B7">
        <f>_xll.QUADF(B6,X1,-R_,R_,{"algor","QK15"})</f>
        <v>1.0477631552491187</v>
      </c>
    </row>
    <row r="9" spans="1:5" x14ac:dyDescent="0.25">
      <c r="A9" s="2" t="s">
        <v>13</v>
      </c>
    </row>
    <row r="10" spans="1:5" x14ac:dyDescent="0.25">
      <c r="A10" t="s">
        <v>3</v>
      </c>
      <c r="B10">
        <f>B7-1.5</f>
        <v>-0.45223684475088133</v>
      </c>
    </row>
    <row r="11" spans="1:5" x14ac:dyDescent="0.25">
      <c r="A11" t="s">
        <v>14</v>
      </c>
      <c r="B11" t="str">
        <f t="array" ref="B11:C13">_xll.NLSOLVE(B10,H)</f>
        <v>H</v>
      </c>
      <c r="C11">
        <v>1.4316212518881299</v>
      </c>
    </row>
    <row r="12" spans="1:5" x14ac:dyDescent="0.25">
      <c r="B12" t="str">
        <v>SSERROR</v>
      </c>
      <c r="C12">
        <v>1.9721522630525295E-31</v>
      </c>
    </row>
    <row r="13" spans="1:5" x14ac:dyDescent="0.25">
      <c r="B13" t="str">
        <v>ITRN</v>
      </c>
      <c r="C13">
        <v>3</v>
      </c>
    </row>
    <row r="16" spans="1:5" x14ac:dyDescent="0.25">
      <c r="A16" t="s">
        <v>15</v>
      </c>
      <c r="B16">
        <f>PI()*R_^2*C11/3</f>
        <v>1.4991902692182573</v>
      </c>
    </row>
    <row r="21" spans="1:3" x14ac:dyDescent="0.25">
      <c r="A21" s="2" t="s">
        <v>16</v>
      </c>
    </row>
    <row r="22" spans="1:3" x14ac:dyDescent="0.25">
      <c r="A22" t="s">
        <v>3</v>
      </c>
      <c r="B22">
        <f>B7-2</f>
        <v>-0.95223684475088133</v>
      </c>
    </row>
    <row r="23" spans="1:3" x14ac:dyDescent="0.25">
      <c r="A23" t="s">
        <v>14</v>
      </c>
      <c r="B23" t="str">
        <f t="array" ref="B23:C25">_xll.NLSOLVE(B22,R_)</f>
        <v>R_</v>
      </c>
      <c r="C23">
        <v>1.3816035378685336</v>
      </c>
    </row>
    <row r="24" spans="1:3" x14ac:dyDescent="0.25">
      <c r="B24" t="str">
        <v>SSERROR</v>
      </c>
      <c r="C24">
        <v>8.6971914800616552E-29</v>
      </c>
    </row>
    <row r="25" spans="1:3" x14ac:dyDescent="0.25">
      <c r="B25" t="str">
        <v>ITRN</v>
      </c>
      <c r="C25">
        <v>6</v>
      </c>
    </row>
    <row r="29" spans="1:3" x14ac:dyDescent="0.25">
      <c r="A29" t="s">
        <v>15</v>
      </c>
      <c r="B29">
        <f>PI()*C23^2*H/3</f>
        <v>1.9989203589576856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T44"/>
  <sheetViews>
    <sheetView workbookViewId="0">
      <selection activeCell="F55" sqref="F55"/>
    </sheetView>
  </sheetViews>
  <sheetFormatPr defaultRowHeight="15" x14ac:dyDescent="0.25"/>
  <cols>
    <col min="1" max="1" width="21" customWidth="1"/>
    <col min="2" max="3" width="12.7109375" bestFit="1" customWidth="1"/>
    <col min="4" max="4" width="12" customWidth="1"/>
    <col min="9" max="9" width="9.140625" customWidth="1"/>
  </cols>
  <sheetData>
    <row r="1" spans="1:20" x14ac:dyDescent="0.25">
      <c r="A1" s="2" t="s">
        <v>45</v>
      </c>
    </row>
    <row r="2" spans="1:20" x14ac:dyDescent="0.25">
      <c r="A2" t="s">
        <v>17</v>
      </c>
      <c r="B2">
        <v>0</v>
      </c>
      <c r="G2" s="2" t="s">
        <v>106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25">
      <c r="A3" t="s">
        <v>18</v>
      </c>
      <c r="B3">
        <v>1</v>
      </c>
      <c r="G3" s="2" t="s">
        <v>107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25">
      <c r="A4" t="s">
        <v>19</v>
      </c>
      <c r="B4">
        <f>C4</f>
        <v>0</v>
      </c>
      <c r="C4">
        <v>0</v>
      </c>
    </row>
    <row r="5" spans="1:20" x14ac:dyDescent="0.25">
      <c r="I5" t="str">
        <f t="array" ref="I5:K36">_xll.IVSOLVE(B11:B12,(t,x,v),{0,12})</f>
        <v>t</v>
      </c>
      <c r="J5" t="str">
        <v>x</v>
      </c>
      <c r="K5" t="str">
        <v>v</v>
      </c>
    </row>
    <row r="6" spans="1:20" x14ac:dyDescent="0.25">
      <c r="A6" s="2" t="s">
        <v>46</v>
      </c>
      <c r="C6" t="s">
        <v>49</v>
      </c>
      <c r="E6" s="2" t="s">
        <v>47</v>
      </c>
      <c r="I6">
        <v>0</v>
      </c>
      <c r="J6">
        <v>1</v>
      </c>
      <c r="K6">
        <v>0</v>
      </c>
      <c r="M6">
        <v>1</v>
      </c>
    </row>
    <row r="7" spans="1:20" x14ac:dyDescent="0.25">
      <c r="A7" t="s">
        <v>40</v>
      </c>
      <c r="B7">
        <v>1</v>
      </c>
      <c r="C7" s="6">
        <v>1</v>
      </c>
      <c r="E7" t="s">
        <v>22</v>
      </c>
      <c r="F7">
        <v>-0.2</v>
      </c>
      <c r="I7">
        <v>0.4</v>
      </c>
      <c r="J7">
        <v>0.92605665689469674</v>
      </c>
      <c r="K7">
        <v>-0.35295302636130998</v>
      </c>
      <c r="M7">
        <v>1</v>
      </c>
    </row>
    <row r="8" spans="1:20" x14ac:dyDescent="0.25">
      <c r="A8" t="s">
        <v>0</v>
      </c>
      <c r="B8">
        <v>0.25</v>
      </c>
      <c r="C8" s="6">
        <v>0.25</v>
      </c>
      <c r="E8" t="s">
        <v>20</v>
      </c>
      <c r="F8">
        <v>2</v>
      </c>
      <c r="I8">
        <v>0.8</v>
      </c>
      <c r="J8">
        <v>0.73300419831636165</v>
      </c>
      <c r="K8">
        <v>-0.59143151024392149</v>
      </c>
      <c r="M8">
        <v>1</v>
      </c>
    </row>
    <row r="9" spans="1:20" x14ac:dyDescent="0.25">
      <c r="I9">
        <v>1.2000000000000002</v>
      </c>
      <c r="J9">
        <v>0.47005327980398859</v>
      </c>
      <c r="K9">
        <v>-0.702042886947016</v>
      </c>
      <c r="M9">
        <v>1</v>
      </c>
    </row>
    <row r="10" spans="1:20" x14ac:dyDescent="0.25">
      <c r="A10" s="2" t="s">
        <v>48</v>
      </c>
      <c r="I10">
        <v>1.6</v>
      </c>
      <c r="J10">
        <v>0.18750657052297812</v>
      </c>
      <c r="K10">
        <v>-0.69214530911018313</v>
      </c>
      <c r="M10">
        <v>1</v>
      </c>
    </row>
    <row r="11" spans="1:20" x14ac:dyDescent="0.25">
      <c r="A11" t="s">
        <v>1</v>
      </c>
      <c r="B11">
        <f>v</f>
        <v>0</v>
      </c>
      <c r="I11">
        <v>2</v>
      </c>
      <c r="J11">
        <v>-7.0643227114647877E-2</v>
      </c>
      <c r="K11">
        <v>-0.5850004540907684</v>
      </c>
      <c r="M11">
        <v>1</v>
      </c>
    </row>
    <row r="12" spans="1:20" x14ac:dyDescent="0.25">
      <c r="A12" t="s">
        <v>2</v>
      </c>
      <c r="B12">
        <f>-2*zeta*omega*v-omega^2*x</f>
        <v>-1</v>
      </c>
      <c r="I12">
        <v>2.4</v>
      </c>
      <c r="J12">
        <v>-0.2718972184424856</v>
      </c>
      <c r="K12">
        <v>-0.41357097540877785</v>
      </c>
      <c r="M12">
        <v>1</v>
      </c>
    </row>
    <row r="13" spans="1:20" x14ac:dyDescent="0.25">
      <c r="I13">
        <v>2.8</v>
      </c>
      <c r="J13">
        <v>-0.39777378936249735</v>
      </c>
      <c r="K13">
        <v>-0.21402976762511211</v>
      </c>
      <c r="M13">
        <v>1</v>
      </c>
    </row>
    <row r="14" spans="1:20" x14ac:dyDescent="0.25">
      <c r="A14" s="4" t="s">
        <v>21</v>
      </c>
      <c r="I14">
        <v>3.1999999999999997</v>
      </c>
      <c r="J14">
        <v>-0.4438994702653723</v>
      </c>
      <c r="K14">
        <v>-2.0043313911754526E-2</v>
      </c>
      <c r="M14">
        <v>1</v>
      </c>
    </row>
    <row r="15" spans="1:20" x14ac:dyDescent="0.25">
      <c r="I15">
        <v>3.5999999999999996</v>
      </c>
      <c r="J15">
        <v>-0.41815011304212285</v>
      </c>
      <c r="K15">
        <v>0.14165006826148879</v>
      </c>
      <c r="M15">
        <v>1</v>
      </c>
    </row>
    <row r="16" spans="1:20" x14ac:dyDescent="0.25">
      <c r="A16" t="s">
        <v>5</v>
      </c>
      <c r="B16">
        <f ca="1">_xll.ARRAYVAL(J11)-overshoot</f>
        <v>0.12935677288535213</v>
      </c>
      <c r="I16">
        <v>3.9999999999999996</v>
      </c>
      <c r="J16">
        <v>-0.33723419011107164</v>
      </c>
      <c r="K16">
        <v>0.25377273932935829</v>
      </c>
      <c r="M16">
        <v>1</v>
      </c>
    </row>
    <row r="17" spans="1:13" x14ac:dyDescent="0.25">
      <c r="A17" t="s">
        <v>6</v>
      </c>
      <c r="B17">
        <f ca="1">_xll.ARRAYVAL(K11)</f>
        <v>-0.5850004540907684</v>
      </c>
      <c r="I17">
        <v>4.3999999999999995</v>
      </c>
      <c r="J17">
        <v>-0.22272902365000419</v>
      </c>
      <c r="K17">
        <v>0.30924943614698036</v>
      </c>
      <c r="M17">
        <v>1</v>
      </c>
    </row>
    <row r="18" spans="1:13" x14ac:dyDescent="0.25">
      <c r="A18" t="s">
        <v>4</v>
      </c>
      <c r="B18" t="str">
        <f t="array" ref="B18:C22">_xll.NLSOLVE(B16:B17,(omega,zeta))</f>
        <v>omega</v>
      </c>
      <c r="C18">
        <v>1.7649350068672571</v>
      </c>
      <c r="I18">
        <v>4.8</v>
      </c>
      <c r="J18">
        <v>-9.7109293964725799E-2</v>
      </c>
      <c r="K18">
        <v>0.31041967713340118</v>
      </c>
      <c r="M18">
        <v>1</v>
      </c>
    </row>
    <row r="19" spans="1:13" x14ac:dyDescent="0.25">
      <c r="B19" t="str">
        <v>zeta</v>
      </c>
      <c r="C19">
        <v>0.45594988250675783</v>
      </c>
      <c r="I19">
        <v>5.2</v>
      </c>
      <c r="J19">
        <v>1.9631616305890651E-2</v>
      </c>
      <c r="K19">
        <v>0.26695979945038484</v>
      </c>
      <c r="M19">
        <v>1</v>
      </c>
    </row>
    <row r="20" spans="1:13" x14ac:dyDescent="0.25">
      <c r="B20" t="str">
        <v>SSERROR</v>
      </c>
      <c r="C20">
        <v>6.0839855897019149E-12</v>
      </c>
      <c r="I20">
        <v>5.6000000000000005</v>
      </c>
      <c r="J20">
        <v>0.11240629022380691</v>
      </c>
      <c r="K20">
        <v>0.19317819712187656</v>
      </c>
      <c r="M20">
        <v>1</v>
      </c>
    </row>
    <row r="21" spans="1:13" x14ac:dyDescent="0.25">
      <c r="B21" t="str">
        <v>ITRN</v>
      </c>
      <c r="C21">
        <v>27</v>
      </c>
      <c r="I21">
        <v>6.0000000000000009</v>
      </c>
      <c r="J21">
        <v>0.17227496137871889</v>
      </c>
      <c r="K21">
        <v>0.10512989447837674</v>
      </c>
      <c r="M21">
        <v>1</v>
      </c>
    </row>
    <row r="22" spans="1:13" x14ac:dyDescent="0.25">
      <c r="B22" t="str">
        <v>TIME (s)</v>
      </c>
      <c r="C22">
        <v>2.1999999999999999E-2</v>
      </c>
      <c r="I22">
        <v>6.4000000000000012</v>
      </c>
      <c r="J22">
        <v>0.19663973959317241</v>
      </c>
      <c r="K22">
        <v>1.8000613177731037E-2</v>
      </c>
      <c r="M22">
        <v>1</v>
      </c>
    </row>
    <row r="23" spans="1:13" x14ac:dyDescent="0.25">
      <c r="I23">
        <v>6.8000000000000016</v>
      </c>
      <c r="J23">
        <v>0.18845555983740134</v>
      </c>
      <c r="K23">
        <v>-5.5916056063065447E-2</v>
      </c>
      <c r="M23">
        <v>1</v>
      </c>
    </row>
    <row r="24" spans="1:13" x14ac:dyDescent="0.25">
      <c r="A24" s="5" t="s">
        <v>41</v>
      </c>
      <c r="I24">
        <v>7.200000000000002</v>
      </c>
      <c r="J24">
        <v>0.1547844172555857</v>
      </c>
      <c r="K24">
        <v>-0.10842779092069171</v>
      </c>
      <c r="M24">
        <v>1</v>
      </c>
    </row>
    <row r="25" spans="1:13" x14ac:dyDescent="0.25">
      <c r="A25" s="2"/>
      <c r="I25">
        <v>7.6000000000000023</v>
      </c>
      <c r="J25">
        <v>0.10506930807911109</v>
      </c>
      <c r="K25">
        <v>-0.13590680059482915</v>
      </c>
      <c r="M25">
        <v>1</v>
      </c>
    </row>
    <row r="26" spans="1:13" x14ac:dyDescent="0.25">
      <c r="A26" t="s">
        <v>5</v>
      </c>
      <c r="B26" cm="1">
        <f t="array" ref="B26">_xll.INTERPXY(I6:I36,_xll.ARRAYVAL(J6:J36),2.5,,M6:M36)-overshoot</f>
        <v>-0.11081682904399975</v>
      </c>
      <c r="D26" t="e">
        <f ca="1">_xll.ODEVAL(I6:I36,x,"interp",2.5)-overshoot</f>
        <v>#VALUE!</v>
      </c>
      <c r="I26">
        <v>8.0000000000000018</v>
      </c>
      <c r="J26">
        <v>4.9333038236706594E-2</v>
      </c>
      <c r="K26">
        <v>-0.13895546252634994</v>
      </c>
      <c r="M26">
        <v>1</v>
      </c>
    </row>
    <row r="27" spans="1:13" x14ac:dyDescent="0.25">
      <c r="A27" t="s">
        <v>6</v>
      </c>
      <c r="B27" cm="1">
        <f t="array" ref="B27">_xll.INTERPXY(I6:I36,_xll.ARRAYVAL(K6:K36),2.5,{"order",3})</f>
        <v>-0.36493427822666441</v>
      </c>
      <c r="D27" t="str">
        <f ca="1">_xll.ODEVAL(I6:I36,v,"interp",2.5)</f>
        <v>ODEVAL has been deprecated. Use DYNVAL to define your constraints. See https://excel-works.com/manual/dynval for help.</v>
      </c>
      <c r="I27">
        <v>8.4000000000000021</v>
      </c>
      <c r="J27">
        <v>-3.3624478948330767E-3</v>
      </c>
      <c r="K27">
        <v>-0.12157191006466189</v>
      </c>
      <c r="M27">
        <v>1</v>
      </c>
    </row>
    <row r="28" spans="1:13" x14ac:dyDescent="0.25">
      <c r="A28" t="s">
        <v>4</v>
      </c>
      <c r="B28" s="12" t="str">
        <f t="array" ref="B28:C32">_xll.NLSOLVE((B26,B27),(omega,zeta))</f>
        <v>omega</v>
      </c>
      <c r="C28">
        <v>1.4119959746494328</v>
      </c>
      <c r="I28">
        <v>8.8000000000000025</v>
      </c>
      <c r="J28">
        <v>-4.6024672103064004E-2</v>
      </c>
      <c r="K28">
        <v>-8.9940927823683542E-2</v>
      </c>
      <c r="M28">
        <v>1</v>
      </c>
    </row>
    <row r="29" spans="1:13" x14ac:dyDescent="0.25">
      <c r="B29" t="str">
        <v>zeta</v>
      </c>
      <c r="C29">
        <v>0.45595850849579805</v>
      </c>
      <c r="I29">
        <v>9.2000000000000028</v>
      </c>
      <c r="J29">
        <v>-7.4365095054841929E-2</v>
      </c>
      <c r="K29">
        <v>-5.1173935697711614E-2</v>
      </c>
      <c r="M29">
        <v>1</v>
      </c>
    </row>
    <row r="30" spans="1:13" x14ac:dyDescent="0.25">
      <c r="B30" t="str">
        <v>SSERROR</v>
      </c>
      <c r="C30">
        <v>1.5774712587241622E-25</v>
      </c>
      <c r="I30">
        <v>9.6000000000000032</v>
      </c>
      <c r="J30">
        <v>-8.6928035945346011E-2</v>
      </c>
      <c r="K30">
        <v>-1.2111871035602524E-2</v>
      </c>
      <c r="M30">
        <v>1</v>
      </c>
    </row>
    <row r="31" spans="1:13" x14ac:dyDescent="0.25">
      <c r="B31" t="str">
        <v>ITRN</v>
      </c>
      <c r="C31">
        <v>8</v>
      </c>
      <c r="I31">
        <v>10.000000000000004</v>
      </c>
      <c r="J31">
        <v>-8.4775801691388694E-2</v>
      </c>
      <c r="K31">
        <v>2.1603547111544906E-2</v>
      </c>
      <c r="M31">
        <v>1</v>
      </c>
    </row>
    <row r="32" spans="1:13" x14ac:dyDescent="0.25">
      <c r="B32" t="str">
        <v>TIME (s)</v>
      </c>
      <c r="C32">
        <v>8.9999999999999993E-3</v>
      </c>
      <c r="I32">
        <v>10.400000000000004</v>
      </c>
      <c r="J32">
        <v>-7.0882156578178965E-2</v>
      </c>
      <c r="K32">
        <v>4.6116533070330271E-2</v>
      </c>
      <c r="M32">
        <v>1</v>
      </c>
    </row>
    <row r="33" spans="1:13" x14ac:dyDescent="0.25">
      <c r="I33">
        <v>10.800000000000004</v>
      </c>
      <c r="J33">
        <v>-4.9364098719892377E-2</v>
      </c>
      <c r="K33">
        <v>5.9585699989368981E-2</v>
      </c>
      <c r="M33">
        <v>1</v>
      </c>
    </row>
    <row r="34" spans="1:13" x14ac:dyDescent="0.25">
      <c r="I34">
        <v>11.200000000000005</v>
      </c>
      <c r="J34">
        <v>-2.4682409736044117E-2</v>
      </c>
      <c r="K34">
        <v>6.2087633860696614E-2</v>
      </c>
      <c r="M34">
        <v>1</v>
      </c>
    </row>
    <row r="35" spans="1:13" x14ac:dyDescent="0.25">
      <c r="B35" t="str">
        <f t="array" ref="B35:C38">_xll.NLSOLVE(B16:B17,(zeta,C4))</f>
        <v>zeta</v>
      </c>
      <c r="C35">
        <v>0.85225458790985253</v>
      </c>
      <c r="I35">
        <v>11.600000000000005</v>
      </c>
      <c r="J35">
        <v>-9.436618972159562E-4</v>
      </c>
      <c r="K35">
        <v>5.5251673422432049E-2</v>
      </c>
      <c r="M35">
        <v>1</v>
      </c>
    </row>
    <row r="36" spans="1:13" x14ac:dyDescent="0.25">
      <c r="B36" t="str">
        <v>C4</v>
      </c>
      <c r="C36">
        <v>-1.8195983101916409</v>
      </c>
      <c r="I36">
        <v>12</v>
      </c>
      <c r="J36">
        <v>1.8627078889442823E-2</v>
      </c>
      <c r="K36">
        <v>4.174872536877848E-2</v>
      </c>
      <c r="M36">
        <v>1</v>
      </c>
    </row>
    <row r="37" spans="1:13" x14ac:dyDescent="0.25">
      <c r="B37" t="str">
        <v>SSERROR</v>
      </c>
      <c r="C37">
        <v>2.3402615637530953E-27</v>
      </c>
    </row>
    <row r="38" spans="1:13" x14ac:dyDescent="0.25">
      <c r="B38" t="str">
        <v>ITRN</v>
      </c>
      <c r="C38">
        <v>12</v>
      </c>
    </row>
    <row r="39" spans="1:13" x14ac:dyDescent="0.25">
      <c r="A39" s="1"/>
    </row>
    <row r="41" spans="1:13" x14ac:dyDescent="0.25">
      <c r="B41" t="str">
        <f t="array" ref="B41:C44">_xll.NLSOLVE(B16:B17,(zeta,v))</f>
        <v>zeta</v>
      </c>
      <c r="C41">
        <v>0.44753168913606817</v>
      </c>
    </row>
    <row r="42" spans="1:13" x14ac:dyDescent="0.25">
      <c r="B42" t="str">
        <v>v</v>
      </c>
      <c r="C42">
        <v>8529117.6283311024</v>
      </c>
    </row>
    <row r="43" spans="1:13" x14ac:dyDescent="0.25">
      <c r="B43" t="str">
        <v>SSERROR</v>
      </c>
      <c r="C43">
        <v>0.29596697613327438</v>
      </c>
    </row>
    <row r="44" spans="1:13" x14ac:dyDescent="0.25">
      <c r="A44" s="3"/>
      <c r="B44" t="str">
        <v>ITRN</v>
      </c>
      <c r="C44">
        <v>7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2:K39"/>
  <sheetViews>
    <sheetView workbookViewId="0"/>
  </sheetViews>
  <sheetFormatPr defaultRowHeight="15" x14ac:dyDescent="0.25"/>
  <sheetData>
    <row r="2" spans="2:11" x14ac:dyDescent="0.25">
      <c r="I2" s="7" t="str">
        <f t="array" ref="I2:K39">_xll.IVSOLVE(F4:F5,(t,x,v),{0,4500})</f>
        <v>t</v>
      </c>
      <c r="J2" s="7" t="str">
        <v>x</v>
      </c>
      <c r="K2" s="7" t="str">
        <v>v</v>
      </c>
    </row>
    <row r="3" spans="2:11" x14ac:dyDescent="0.25">
      <c r="B3" s="2" t="s">
        <v>26</v>
      </c>
      <c r="E3" s="2" t="s">
        <v>29</v>
      </c>
      <c r="I3" s="7">
        <v>0</v>
      </c>
      <c r="J3" s="7">
        <v>0</v>
      </c>
      <c r="K3" s="7">
        <v>0</v>
      </c>
    </row>
    <row r="4" spans="2:11" x14ac:dyDescent="0.25">
      <c r="B4" t="s">
        <v>24</v>
      </c>
      <c r="C4">
        <v>1000000</v>
      </c>
      <c r="E4" t="s">
        <v>30</v>
      </c>
      <c r="F4">
        <f>v</f>
        <v>0</v>
      </c>
      <c r="I4" s="7">
        <v>125</v>
      </c>
      <c r="J4" s="7">
        <v>6115.4631006955469</v>
      </c>
      <c r="K4" s="7">
        <v>96.667155486061688</v>
      </c>
    </row>
    <row r="5" spans="2:11" x14ac:dyDescent="0.25">
      <c r="B5" t="s">
        <v>23</v>
      </c>
      <c r="C5">
        <v>6371000</v>
      </c>
      <c r="E5" t="s">
        <v>31</v>
      </c>
      <c r="F5">
        <f>1/mt*(Fp-Fd+Fg)</f>
        <v>0.79240036871977826</v>
      </c>
      <c r="I5" s="7">
        <v>250</v>
      </c>
      <c r="J5" s="7">
        <v>23618.421138541344</v>
      </c>
      <c r="K5" s="7">
        <v>180.37566258024347</v>
      </c>
    </row>
    <row r="6" spans="2:11" x14ac:dyDescent="0.25">
      <c r="B6" t="s">
        <v>25</v>
      </c>
      <c r="C6">
        <v>100000</v>
      </c>
      <c r="I6" s="7">
        <v>375</v>
      </c>
      <c r="J6" s="7">
        <v>50345.741628919917</v>
      </c>
      <c r="K6" s="7">
        <v>243.58152916450942</v>
      </c>
    </row>
    <row r="7" spans="2:11" x14ac:dyDescent="0.25">
      <c r="I7" s="7">
        <v>500</v>
      </c>
      <c r="J7" s="7">
        <v>83614.114435214826</v>
      </c>
      <c r="K7" s="7">
        <v>285.31666793439535</v>
      </c>
    </row>
    <row r="8" spans="2:11" x14ac:dyDescent="0.25">
      <c r="B8" s="2" t="s">
        <v>27</v>
      </c>
      <c r="E8" s="2" t="s">
        <v>33</v>
      </c>
      <c r="I8" s="7">
        <v>625</v>
      </c>
      <c r="J8" s="7">
        <v>120912.87237532671</v>
      </c>
      <c r="K8" s="7">
        <v>308.8177628685911</v>
      </c>
    </row>
    <row r="9" spans="2:11" x14ac:dyDescent="0.25">
      <c r="B9" t="s">
        <v>28</v>
      </c>
      <c r="C9">
        <f>0.5*v^2</f>
        <v>0</v>
      </c>
      <c r="E9" t="s">
        <v>17</v>
      </c>
      <c r="I9" s="7">
        <v>750</v>
      </c>
      <c r="J9" s="7">
        <v>160244.81349897198</v>
      </c>
      <c r="K9" s="7">
        <v>318.60753780159268</v>
      </c>
    </row>
    <row r="10" spans="2:11" x14ac:dyDescent="0.25">
      <c r="B10" t="s">
        <v>32</v>
      </c>
      <c r="C10">
        <f>10*mt*COS(theta)</f>
        <v>78240.03687197782</v>
      </c>
      <c r="E10" t="s">
        <v>18</v>
      </c>
      <c r="F10">
        <v>0</v>
      </c>
      <c r="I10" s="7">
        <v>875</v>
      </c>
      <c r="J10" s="7">
        <v>200165.57742793302</v>
      </c>
      <c r="K10" s="7">
        <v>318.777568600834</v>
      </c>
    </row>
    <row r="11" spans="2:11" x14ac:dyDescent="0.25">
      <c r="B11" t="s">
        <v>34</v>
      </c>
      <c r="C11">
        <f>F14</f>
        <v>1.4924762447862647</v>
      </c>
      <c r="E11" t="s">
        <v>19</v>
      </c>
      <c r="F11">
        <v>0</v>
      </c>
      <c r="I11" s="7">
        <v>1000</v>
      </c>
      <c r="J11" s="7">
        <v>239672.81908018267</v>
      </c>
      <c r="K11" s="7">
        <v>312.47881751335916</v>
      </c>
    </row>
    <row r="12" spans="2:11" x14ac:dyDescent="0.25">
      <c r="I12" s="7">
        <v>1125</v>
      </c>
      <c r="J12" s="7">
        <v>278105.87043910753</v>
      </c>
      <c r="K12" s="7">
        <v>301.88944027121323</v>
      </c>
    </row>
    <row r="13" spans="2:11" x14ac:dyDescent="0.25">
      <c r="B13" s="2" t="s">
        <v>35</v>
      </c>
      <c r="I13" s="7">
        <v>1250</v>
      </c>
      <c r="J13" s="7">
        <v>315027.66779708496</v>
      </c>
      <c r="K13" s="7">
        <v>288.46723113774857</v>
      </c>
    </row>
    <row r="14" spans="2:11" x14ac:dyDescent="0.25">
      <c r="B14" t="s">
        <v>36</v>
      </c>
      <c r="C14">
        <v>1000</v>
      </c>
      <c r="F14">
        <f>IF(x&lt;d/2,ATAN(Rad/(d/2-x)),IF(x&gt;d/2,ATAN(Rad/(d/2-x))+PI(),PI()/2))</f>
        <v>1.4924762447862647</v>
      </c>
      <c r="I14" s="7">
        <v>1375</v>
      </c>
      <c r="J14" s="7">
        <v>350145.53212018218</v>
      </c>
      <c r="K14" s="7">
        <v>273.17840954657589</v>
      </c>
    </row>
    <row r="15" spans="2:11" x14ac:dyDescent="0.25">
      <c r="B15" t="s">
        <v>37</v>
      </c>
      <c r="C15">
        <v>2000</v>
      </c>
      <c r="F15" cm="1">
        <f t="array" ref="F15">_xlfn.IFS(x&lt;d/2,ATAN(Rad/(d/2-x)),x&gt;d/2,ATAN(Rad/(d/2-x))+PI(),TRUE,PI()/2)</f>
        <v>1.4924762447862647</v>
      </c>
      <c r="I15" s="7">
        <v>1500</v>
      </c>
      <c r="J15" s="7">
        <v>383269.83461277635</v>
      </c>
      <c r="K15" s="7">
        <v>256.63820991789788</v>
      </c>
    </row>
    <row r="16" spans="2:11" x14ac:dyDescent="0.25">
      <c r="I16" s="7">
        <v>1625</v>
      </c>
      <c r="J16" s="7">
        <v>414271.16243219166</v>
      </c>
      <c r="K16" s="7">
        <v>239.25148148492536</v>
      </c>
    </row>
    <row r="17" spans="2:11" x14ac:dyDescent="0.25">
      <c r="B17" s="2" t="s">
        <v>38</v>
      </c>
      <c r="I17" s="7">
        <v>1750</v>
      </c>
      <c r="J17" s="7">
        <v>443058.62526845583</v>
      </c>
      <c r="K17" s="7">
        <v>221.29596882933893</v>
      </c>
    </row>
    <row r="18" spans="2:11" x14ac:dyDescent="0.25">
      <c r="C18" cm="1">
        <f t="array" ref="C18">_xll.INTERPXY(I3:I39,_xll.ARRAYVAL(J3:J39),tf)-d</f>
        <v>-506218.72542036569</v>
      </c>
      <c r="I18" s="7">
        <v>1875</v>
      </c>
      <c r="J18" s="7">
        <v>469577.23184755683</v>
      </c>
      <c r="K18" s="7">
        <v>202.93153750768536</v>
      </c>
    </row>
    <row r="19" spans="2:11" x14ac:dyDescent="0.25">
      <c r="C19" cm="1">
        <f t="array" ref="C19">_xll.INTERPXY(I3:I39,_xll.ARRAYVAL(K3:K39),tf)</f>
        <v>184.28554920653644</v>
      </c>
      <c r="I19" s="7">
        <v>2000</v>
      </c>
      <c r="J19" s="7">
        <v>493781.27457963425</v>
      </c>
      <c r="K19" s="7">
        <v>184.28554920653639</v>
      </c>
    </row>
    <row r="20" spans="2:11" x14ac:dyDescent="0.25">
      <c r="I20" s="7">
        <v>2125</v>
      </c>
      <c r="J20" s="7">
        <v>515639.8471813408</v>
      </c>
      <c r="K20" s="7">
        <v>165.44394697723888</v>
      </c>
    </row>
    <row r="21" spans="2:11" x14ac:dyDescent="0.25">
      <c r="B21" s="2" t="s">
        <v>39</v>
      </c>
      <c r="I21" s="7">
        <v>2250</v>
      </c>
      <c r="J21" s="7">
        <v>535134.99064812029</v>
      </c>
      <c r="K21" s="7">
        <v>146.45264435837564</v>
      </c>
    </row>
    <row r="22" spans="2:11" x14ac:dyDescent="0.25">
      <c r="B22" s="12" t="str">
        <f t="array" ref="B22:C26">_xll.NLSOLVE(C18:C19,(Fp,tf))</f>
        <v>Fp</v>
      </c>
      <c r="C22">
        <v>62648.961469468049</v>
      </c>
      <c r="I22" s="7">
        <v>2375</v>
      </c>
      <c r="J22" s="7">
        <v>552249.83566162735</v>
      </c>
      <c r="K22" s="7">
        <v>127.35456106794499</v>
      </c>
    </row>
    <row r="23" spans="2:11" x14ac:dyDescent="0.25">
      <c r="B23" t="str">
        <v>tf</v>
      </c>
      <c r="C23">
        <v>3863.5772112921759</v>
      </c>
      <c r="I23" s="7">
        <v>2500</v>
      </c>
      <c r="J23" s="7">
        <v>566971.22329484427</v>
      </c>
      <c r="K23" s="7">
        <v>108.18264905380096</v>
      </c>
    </row>
    <row r="24" spans="2:11" x14ac:dyDescent="0.25">
      <c r="B24" t="str">
        <v>SSERROR</v>
      </c>
      <c r="C24">
        <v>1.4258530391548416E-12</v>
      </c>
      <c r="I24" s="7">
        <v>2625</v>
      </c>
      <c r="J24" s="7">
        <v>579292.15720095148</v>
      </c>
      <c r="K24" s="7">
        <v>88.955067134687141</v>
      </c>
    </row>
    <row r="25" spans="2:11" x14ac:dyDescent="0.25">
      <c r="B25" t="str">
        <v>ITRN</v>
      </c>
      <c r="C25">
        <v>6</v>
      </c>
      <c r="I25" s="7">
        <v>2750</v>
      </c>
      <c r="J25" s="7">
        <v>589207.63061079988</v>
      </c>
      <c r="K25" s="7">
        <v>69.685091725757303</v>
      </c>
    </row>
    <row r="26" spans="2:11" x14ac:dyDescent="0.25">
      <c r="B26" t="str">
        <v>TIME (s)</v>
      </c>
      <c r="C26">
        <v>5.0999999999999997E-2</v>
      </c>
      <c r="I26" s="7">
        <v>2875</v>
      </c>
      <c r="J26" s="7">
        <v>596712.84831282287</v>
      </c>
      <c r="K26" s="7">
        <v>50.38591750674945</v>
      </c>
    </row>
    <row r="27" spans="2:11" x14ac:dyDescent="0.25">
      <c r="I27" s="7">
        <v>3000</v>
      </c>
      <c r="J27" s="7">
        <v>601804.57456253807</v>
      </c>
      <c r="K27" s="7">
        <v>31.067748606175527</v>
      </c>
    </row>
    <row r="28" spans="2:11" x14ac:dyDescent="0.25">
      <c r="I28" s="7">
        <v>3125</v>
      </c>
      <c r="J28" s="7">
        <v>604479.25508698134</v>
      </c>
      <c r="K28" s="7">
        <v>11.738454082547264</v>
      </c>
    </row>
    <row r="29" spans="2:11" x14ac:dyDescent="0.25">
      <c r="C29" cm="1">
        <f t="array" ref="C29">_xll.INTERPXY(I3:I39,_xll.ARRAYVAL(J3:J39),tf)-d</f>
        <v>-506218.72542036569</v>
      </c>
      <c r="I29" s="7">
        <v>3250</v>
      </c>
      <c r="J29" s="7">
        <v>604737.49015820154</v>
      </c>
      <c r="K29" s="7">
        <v>-7.5949368870883305</v>
      </c>
    </row>
    <row r="30" spans="2:11" x14ac:dyDescent="0.25">
      <c r="C30" cm="1">
        <f t="array" ref="C30">_xll.DERIVXY(I3:I39,_xll.ARRAYVAL(J3:J39),tf,1,{"ORDER",3})</f>
        <v>184.28056268169894</v>
      </c>
      <c r="I30" s="7">
        <v>3375</v>
      </c>
      <c r="J30" s="7">
        <v>602579.8800482481</v>
      </c>
      <c r="K30" s="7">
        <v>-26.925395125684243</v>
      </c>
    </row>
    <row r="31" spans="2:11" x14ac:dyDescent="0.25">
      <c r="I31" s="7">
        <v>3500</v>
      </c>
      <c r="J31" s="7">
        <v>598007.02502917021</v>
      </c>
      <c r="K31" s="7">
        <v>-46.245891456193498</v>
      </c>
    </row>
    <row r="32" spans="2:11" x14ac:dyDescent="0.25">
      <c r="B32" t="str">
        <f t="array" ref="B32:C35">_xll.NLSOLVE(C29:C30,(Fp,tf))</f>
        <v>Fp</v>
      </c>
      <c r="C32">
        <v>62648.961469213762</v>
      </c>
      <c r="I32" s="7">
        <v>3625</v>
      </c>
      <c r="J32" s="7">
        <v>591021.53403674578</v>
      </c>
      <c r="K32" s="7">
        <v>-65.546132491328322</v>
      </c>
    </row>
    <row r="33" spans="2:11" x14ac:dyDescent="0.25">
      <c r="B33" t="str">
        <v>tf</v>
      </c>
      <c r="C33">
        <v>3863.5817246369252</v>
      </c>
      <c r="I33" s="7">
        <v>3750</v>
      </c>
      <c r="J33" s="7">
        <v>581622.49601435778</v>
      </c>
      <c r="K33" s="7">
        <v>-84.824400807363361</v>
      </c>
    </row>
    <row r="34" spans="2:11" x14ac:dyDescent="0.25">
      <c r="B34" t="str">
        <v>SSERROR</v>
      </c>
      <c r="C34">
        <v>1.2224754007460693E-19</v>
      </c>
      <c r="I34" s="7">
        <v>3875</v>
      </c>
      <c r="J34" s="7">
        <v>569814.3919614621</v>
      </c>
      <c r="K34" s="7">
        <v>-104.06762654775329</v>
      </c>
    </row>
    <row r="35" spans="2:11" x14ac:dyDescent="0.25">
      <c r="B35" t="str">
        <v>ITRN</v>
      </c>
      <c r="C35">
        <v>6</v>
      </c>
      <c r="I35" s="7">
        <v>4000</v>
      </c>
      <c r="J35" s="7">
        <v>555605.50989593205</v>
      </c>
      <c r="K35" s="7">
        <v>-123.25546098952688</v>
      </c>
    </row>
    <row r="36" spans="2:11" x14ac:dyDescent="0.25">
      <c r="I36" s="7">
        <v>4125</v>
      </c>
      <c r="J36" s="7">
        <v>539004.13783564104</v>
      </c>
      <c r="K36" s="7">
        <v>-142.36755540971288</v>
      </c>
    </row>
    <row r="37" spans="2:11" x14ac:dyDescent="0.25">
      <c r="I37" s="7">
        <v>4250</v>
      </c>
      <c r="J37" s="7">
        <v>520019.31698647194</v>
      </c>
      <c r="K37" s="7">
        <v>-161.38158972584938</v>
      </c>
    </row>
    <row r="38" spans="2:11" x14ac:dyDescent="0.25">
      <c r="I38" s="7">
        <v>4375</v>
      </c>
      <c r="J38" s="7">
        <v>498664.32057323749</v>
      </c>
      <c r="K38" s="7">
        <v>-180.26361907533615</v>
      </c>
    </row>
    <row r="39" spans="2:11" x14ac:dyDescent="0.25">
      <c r="I39" s="7">
        <v>4500</v>
      </c>
      <c r="J39" s="7">
        <v>474960.99072094797</v>
      </c>
      <c r="K39" s="7">
        <v>-198.9563853269882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P56"/>
  <sheetViews>
    <sheetView workbookViewId="0"/>
  </sheetViews>
  <sheetFormatPr defaultRowHeight="15" x14ac:dyDescent="0.25"/>
  <cols>
    <col min="7" max="7" width="9.5703125" bestFit="1" customWidth="1"/>
    <col min="8" max="8" width="12.7109375" bestFit="1" customWidth="1"/>
    <col min="9" max="9" width="13" bestFit="1" customWidth="1"/>
    <col min="10" max="10" width="12.85546875" bestFit="1" customWidth="1"/>
    <col min="13" max="15" width="9.28515625" bestFit="1" customWidth="1"/>
    <col min="16" max="16" width="12.7109375" bestFit="1" customWidth="1"/>
    <col min="17" max="17" width="9.28515625" bestFit="1" customWidth="1"/>
    <col min="18" max="18" width="12.7109375" bestFit="1" customWidth="1"/>
    <col min="19" max="19" width="9.28515625" bestFit="1" customWidth="1"/>
  </cols>
  <sheetData>
    <row r="1" spans="1:16" x14ac:dyDescent="0.25">
      <c r="A1" s="2" t="s">
        <v>50</v>
      </c>
      <c r="C1" s="2" t="s">
        <v>68</v>
      </c>
    </row>
    <row r="2" spans="1:16" x14ac:dyDescent="0.25">
      <c r="A2" t="s">
        <v>17</v>
      </c>
      <c r="C2" t="s">
        <v>51</v>
      </c>
      <c r="D2">
        <v>1</v>
      </c>
    </row>
    <row r="3" spans="1:16" x14ac:dyDescent="0.25">
      <c r="A3" t="s">
        <v>18</v>
      </c>
    </row>
    <row r="4" spans="1:16" x14ac:dyDescent="0.25">
      <c r="A4" t="s">
        <v>52</v>
      </c>
      <c r="B4">
        <f>IF(x=0,p,0)</f>
        <v>100</v>
      </c>
      <c r="C4" t="s">
        <v>67</v>
      </c>
      <c r="D4">
        <v>100</v>
      </c>
    </row>
    <row r="5" spans="1:16" x14ac:dyDescent="0.25">
      <c r="A5" t="s">
        <v>53</v>
      </c>
    </row>
    <row r="6" spans="1:16" x14ac:dyDescent="0.25">
      <c r="A6" t="s">
        <v>54</v>
      </c>
    </row>
    <row r="7" spans="1:16" x14ac:dyDescent="0.25">
      <c r="A7" s="2" t="s">
        <v>55</v>
      </c>
      <c r="C7" s="2" t="s">
        <v>56</v>
      </c>
      <c r="D7" s="2" t="s">
        <v>57</v>
      </c>
    </row>
    <row r="8" spans="1:16" x14ac:dyDescent="0.25">
      <c r="A8" t="s">
        <v>58</v>
      </c>
      <c r="B8">
        <f>k*uxx</f>
        <v>0</v>
      </c>
      <c r="C8">
        <f>u-100</f>
        <v>0</v>
      </c>
      <c r="D8">
        <f>ux</f>
        <v>0</v>
      </c>
    </row>
    <row r="11" spans="1:16" x14ac:dyDescent="0.25">
      <c r="B11" t="str">
        <f t="array" ref="B11:E33">_xll.PDSOLVE(B8,B2:B6,C8,D8,{0,1},{0,1,2})</f>
        <v>t</v>
      </c>
      <c r="C11">
        <v>0</v>
      </c>
      <c r="D11">
        <v>0.5</v>
      </c>
      <c r="E11">
        <v>1</v>
      </c>
    </row>
    <row r="12" spans="1:16" x14ac:dyDescent="0.25">
      <c r="B12" t="str">
        <v>x</v>
      </c>
      <c r="C12" t="str">
        <v>u</v>
      </c>
      <c r="D12" t="str">
        <v>u</v>
      </c>
      <c r="E12" t="str">
        <v>u</v>
      </c>
    </row>
    <row r="13" spans="1:16" x14ac:dyDescent="0.25">
      <c r="B13">
        <v>0</v>
      </c>
      <c r="C13">
        <v>100</v>
      </c>
      <c r="D13">
        <v>100</v>
      </c>
      <c r="E13">
        <v>100</v>
      </c>
      <c r="H13" s="2"/>
      <c r="P13" s="2"/>
    </row>
    <row r="14" spans="1:16" x14ac:dyDescent="0.25">
      <c r="B14">
        <v>0.05</v>
      </c>
      <c r="C14">
        <v>0</v>
      </c>
      <c r="D14">
        <v>97.090608397705864</v>
      </c>
      <c r="E14">
        <v>99.15263853520284</v>
      </c>
      <c r="G14" s="2" t="s">
        <v>70</v>
      </c>
    </row>
    <row r="15" spans="1:16" x14ac:dyDescent="0.25">
      <c r="B15">
        <v>0.1</v>
      </c>
      <c r="C15">
        <v>0</v>
      </c>
      <c r="D15">
        <v>94.199168283486259</v>
      </c>
      <c r="E15">
        <v>98.310508713075023</v>
      </c>
      <c r="G15" t="s">
        <v>66</v>
      </c>
      <c r="H15">
        <f ca="1">_xll.ARRAYVAL(E33)-75</f>
        <v>14.202454719783205</v>
      </c>
    </row>
    <row r="16" spans="1:16" x14ac:dyDescent="0.25">
      <c r="B16">
        <v>0.15000000000000002</v>
      </c>
      <c r="C16">
        <v>0</v>
      </c>
      <c r="D16">
        <v>91.343519578579389</v>
      </c>
      <c r="E16">
        <v>97.478809636517028</v>
      </c>
    </row>
    <row r="17" spans="2:8" x14ac:dyDescent="0.25">
      <c r="B17">
        <v>0.2</v>
      </c>
      <c r="C17">
        <v>0</v>
      </c>
      <c r="D17">
        <v>88.541279624880218</v>
      </c>
      <c r="E17">
        <v>96.662675448522336</v>
      </c>
      <c r="G17" t="str">
        <f t="array" ref="G17:H20">_xll.NLSOLVE(H15,p)</f>
        <v>p</v>
      </c>
      <c r="H17">
        <v>84.078581749279266</v>
      </c>
    </row>
    <row r="18" spans="2:8" x14ac:dyDescent="0.25">
      <c r="B18">
        <v>0.25</v>
      </c>
      <c r="C18">
        <v>0</v>
      </c>
      <c r="D18">
        <v>85.8097339922477</v>
      </c>
      <c r="E18">
        <v>95.8671433716991</v>
      </c>
      <c r="G18" t="str">
        <v>SSERROR</v>
      </c>
      <c r="H18">
        <v>3.3947524650918934E-23</v>
      </c>
    </row>
    <row r="19" spans="2:8" x14ac:dyDescent="0.25">
      <c r="B19">
        <v>0.3</v>
      </c>
      <c r="C19">
        <v>0</v>
      </c>
      <c r="D19">
        <v>83.165729165773541</v>
      </c>
      <c r="E19">
        <v>95.097122218782744</v>
      </c>
      <c r="G19" t="str">
        <v>ITRN</v>
      </c>
      <c r="H19">
        <v>6</v>
      </c>
    </row>
    <row r="20" spans="2:8" x14ac:dyDescent="0.25">
      <c r="B20">
        <v>0.35</v>
      </c>
      <c r="C20">
        <v>0</v>
      </c>
      <c r="D20">
        <v>80.625568363553455</v>
      </c>
      <c r="E20">
        <v>94.357361761967212</v>
      </c>
      <c r="G20" t="str">
        <v>TIME (s)</v>
      </c>
      <c r="H20">
        <v>0.11600000000000001</v>
      </c>
    </row>
    <row r="21" spans="2:8" x14ac:dyDescent="0.25">
      <c r="B21">
        <v>0.39999999999999997</v>
      </c>
      <c r="C21">
        <v>0</v>
      </c>
      <c r="D21">
        <v>78.204911027516147</v>
      </c>
      <c r="E21">
        <v>93.652423169539674</v>
      </c>
    </row>
    <row r="22" spans="2:8" x14ac:dyDescent="0.25">
      <c r="B22">
        <v>0.44999999999999996</v>
      </c>
      <c r="C22">
        <v>0</v>
      </c>
      <c r="D22">
        <v>75.91867607213274</v>
      </c>
      <c r="E22">
        <v>92.986650601551659</v>
      </c>
    </row>
    <row r="23" spans="2:8" x14ac:dyDescent="0.25">
      <c r="B23">
        <v>0.49999999999999994</v>
      </c>
      <c r="C23">
        <v>0</v>
      </c>
      <c r="D23">
        <v>73.780950941009166</v>
      </c>
      <c r="E23">
        <v>92.364144633208397</v>
      </c>
      <c r="G23" cm="1">
        <f t="array" aca="1" ref="G23" ca="1">_xll.ARRAYVAL(E33)-90</f>
        <v>-0.79754528021679505</v>
      </c>
    </row>
    <row r="24" spans="2:8" x14ac:dyDescent="0.25">
      <c r="B24">
        <v>0.54999999999999993</v>
      </c>
      <c r="C24">
        <v>0</v>
      </c>
      <c r="D24">
        <v>71.804904600604814</v>
      </c>
      <c r="E24">
        <v>91.788737007890774</v>
      </c>
      <c r="G24" cm="1">
        <f t="array" ref="G24">_xll.NLSOLVE(G23,k)</f>
        <v>1.0310963169471796</v>
      </c>
    </row>
    <row r="25" spans="2:8" x14ac:dyDescent="0.25">
      <c r="B25">
        <v>0.6</v>
      </c>
      <c r="C25">
        <v>0</v>
      </c>
      <c r="D25">
        <v>70.002708283396146</v>
      </c>
      <c r="E25">
        <v>91.263967849436341</v>
      </c>
    </row>
    <row r="26" spans="2:8" x14ac:dyDescent="0.25">
      <c r="B26">
        <v>0.65</v>
      </c>
      <c r="C26">
        <v>0</v>
      </c>
      <c r="D26">
        <v>68.385460401039737</v>
      </c>
      <c r="E26">
        <v>90.793064254418567</v>
      </c>
    </row>
    <row r="27" spans="2:8" x14ac:dyDescent="0.25">
      <c r="B27">
        <v>0.70000000000000007</v>
      </c>
      <c r="C27">
        <v>0</v>
      </c>
      <c r="D27">
        <v>66.963120218336556</v>
      </c>
      <c r="E27">
        <v>90.378921525765605</v>
      </c>
    </row>
    <row r="28" spans="2:8" x14ac:dyDescent="0.25">
      <c r="B28">
        <v>0.75000000000000011</v>
      </c>
      <c r="C28">
        <v>0</v>
      </c>
      <c r="D28">
        <v>65.74444650443273</v>
      </c>
      <c r="E28">
        <v>90.02408583403033</v>
      </c>
    </row>
    <row r="29" spans="2:8" x14ac:dyDescent="0.25">
      <c r="B29">
        <v>0.80000000000000016</v>
      </c>
      <c r="C29">
        <v>0</v>
      </c>
      <c r="D29">
        <v>64.736944734196982</v>
      </c>
      <c r="E29">
        <v>89.730739234830139</v>
      </c>
    </row>
    <row r="30" spans="2:8" x14ac:dyDescent="0.25">
      <c r="B30">
        <v>0.8500000000000002</v>
      </c>
      <c r="C30">
        <v>0</v>
      </c>
      <c r="D30">
        <v>63.946820856481466</v>
      </c>
      <c r="E30">
        <v>89.500686387171257</v>
      </c>
    </row>
    <row r="31" spans="2:8" x14ac:dyDescent="0.25">
      <c r="B31">
        <v>0.90000000000000024</v>
      </c>
      <c r="C31">
        <v>0</v>
      </c>
      <c r="D31">
        <v>63.378942623890872</v>
      </c>
      <c r="E31">
        <v>89.335343246067865</v>
      </c>
    </row>
    <row r="32" spans="2:8" x14ac:dyDescent="0.25">
      <c r="B32">
        <v>0.95000000000000029</v>
      </c>
      <c r="C32">
        <v>0</v>
      </c>
      <c r="D32">
        <v>63.036809719049252</v>
      </c>
      <c r="E32">
        <v>89.23572814255138</v>
      </c>
    </row>
    <row r="33" spans="2:5" x14ac:dyDescent="0.25">
      <c r="B33">
        <v>1</v>
      </c>
      <c r="C33">
        <v>0</v>
      </c>
      <c r="D33">
        <v>62.922530485041797</v>
      </c>
      <c r="E33">
        <v>89.202454719783205</v>
      </c>
    </row>
    <row r="53" spans="2:3" x14ac:dyDescent="0.25">
      <c r="B53" t="s">
        <v>59</v>
      </c>
      <c r="C53" t="s">
        <v>60</v>
      </c>
    </row>
    <row r="54" spans="2:3" x14ac:dyDescent="0.25">
      <c r="B54" t="s">
        <v>61</v>
      </c>
      <c r="C54" t="s">
        <v>62</v>
      </c>
    </row>
    <row r="55" spans="2:3" x14ac:dyDescent="0.25">
      <c r="B55" t="s">
        <v>63</v>
      </c>
      <c r="C55" t="s">
        <v>64</v>
      </c>
    </row>
    <row r="56" spans="2:3" x14ac:dyDescent="0.25">
      <c r="C56" t="s">
        <v>65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S45"/>
  <sheetViews>
    <sheetView workbookViewId="0">
      <selection activeCell="H37" sqref="H37"/>
    </sheetView>
  </sheetViews>
  <sheetFormatPr defaultRowHeight="15" x14ac:dyDescent="0.25"/>
  <cols>
    <col min="7" max="7" width="9.28515625" bestFit="1" customWidth="1"/>
    <col min="8" max="15" width="9.42578125" bestFit="1" customWidth="1"/>
    <col min="16" max="16" width="12.7109375" bestFit="1" customWidth="1"/>
    <col min="17" max="17" width="12.85546875" bestFit="1" customWidth="1"/>
    <col min="18" max="18" width="12.140625" bestFit="1" customWidth="1"/>
    <col min="19" max="19" width="9.42578125" bestFit="1" customWidth="1"/>
    <col min="20" max="20" width="9.28515625" bestFit="1" customWidth="1"/>
  </cols>
  <sheetData>
    <row r="1" spans="1:19" x14ac:dyDescent="0.25">
      <c r="A1" s="2" t="s">
        <v>80</v>
      </c>
      <c r="D1" s="2" t="s">
        <v>81</v>
      </c>
      <c r="H1" s="2" t="s">
        <v>82</v>
      </c>
    </row>
    <row r="2" spans="1:19" x14ac:dyDescent="0.25">
      <c r="A2" t="s">
        <v>17</v>
      </c>
      <c r="D2" t="s">
        <v>84</v>
      </c>
      <c r="E2">
        <v>2.0000000000000001E-4</v>
      </c>
      <c r="H2">
        <v>0</v>
      </c>
      <c r="I2" t="s">
        <v>108</v>
      </c>
      <c r="J2">
        <f>sigma*phi1x-1</f>
        <v>-1</v>
      </c>
    </row>
    <row r="3" spans="1:19" x14ac:dyDescent="0.25">
      <c r="A3" t="s">
        <v>18</v>
      </c>
      <c r="D3" t="s">
        <v>87</v>
      </c>
      <c r="E3">
        <v>2.254E-4</v>
      </c>
      <c r="H3">
        <v>0</v>
      </c>
      <c r="I3" t="s">
        <v>85</v>
      </c>
      <c r="J3">
        <f>phi2x</f>
        <v>0</v>
      </c>
    </row>
    <row r="4" spans="1:19" x14ac:dyDescent="0.25">
      <c r="A4" t="s">
        <v>71</v>
      </c>
      <c r="B4">
        <v>0</v>
      </c>
      <c r="D4" t="s">
        <v>88</v>
      </c>
      <c r="E4">
        <v>4.2539999999999999E-4</v>
      </c>
      <c r="H4">
        <f>lc</f>
        <v>2.0000000000000001E-4</v>
      </c>
      <c r="I4" t="s">
        <v>85</v>
      </c>
      <c r="J4">
        <f>phi1x</f>
        <v>0</v>
      </c>
    </row>
    <row r="5" spans="1:19" x14ac:dyDescent="0.25">
      <c r="A5" t="s">
        <v>72</v>
      </c>
      <c r="B5">
        <v>0</v>
      </c>
      <c r="D5" t="s">
        <v>89</v>
      </c>
      <c r="E5">
        <v>1</v>
      </c>
      <c r="F5" s="6">
        <v>1</v>
      </c>
      <c r="H5">
        <f>lc</f>
        <v>2.0000000000000001E-4</v>
      </c>
      <c r="I5" t="s">
        <v>90</v>
      </c>
      <c r="J5">
        <f>kappa*phi2x</f>
        <v>0</v>
      </c>
    </row>
    <row r="6" spans="1:19" x14ac:dyDescent="0.25">
      <c r="A6" t="s">
        <v>73</v>
      </c>
      <c r="B6">
        <v>0</v>
      </c>
      <c r="D6" t="s">
        <v>91</v>
      </c>
      <c r="E6">
        <v>0.19523841964705099</v>
      </c>
      <c r="F6" s="6">
        <v>0.5</v>
      </c>
      <c r="H6">
        <f>ls</f>
        <v>2.254E-4</v>
      </c>
      <c r="I6" t="s">
        <v>90</v>
      </c>
      <c r="J6">
        <f>kappa*phi2x</f>
        <v>0</v>
      </c>
    </row>
    <row r="7" spans="1:19" x14ac:dyDescent="0.25">
      <c r="A7" t="s">
        <v>74</v>
      </c>
      <c r="D7" t="s">
        <v>92</v>
      </c>
      <c r="E7">
        <v>957971.41659861302</v>
      </c>
      <c r="F7" s="6">
        <v>1000000</v>
      </c>
      <c r="H7">
        <f>ls</f>
        <v>2.254E-4</v>
      </c>
      <c r="I7" t="s">
        <v>85</v>
      </c>
      <c r="J7">
        <f>phi3x</f>
        <v>0</v>
      </c>
    </row>
    <row r="8" spans="1:19" x14ac:dyDescent="0.25">
      <c r="A8" t="s">
        <v>75</v>
      </c>
      <c r="H8">
        <f>la</f>
        <v>4.2539999999999999E-4</v>
      </c>
      <c r="I8" t="s">
        <v>85</v>
      </c>
      <c r="J8">
        <f>phi2x</f>
        <v>0</v>
      </c>
    </row>
    <row r="9" spans="1:19" x14ac:dyDescent="0.25">
      <c r="A9" t="s">
        <v>76</v>
      </c>
      <c r="C9" s="2" t="s">
        <v>93</v>
      </c>
      <c r="H9">
        <f>la</f>
        <v>4.2539999999999999E-4</v>
      </c>
      <c r="I9" t="s">
        <v>94</v>
      </c>
      <c r="J9">
        <f>phi_3</f>
        <v>0</v>
      </c>
    </row>
    <row r="10" spans="1:19" x14ac:dyDescent="0.25">
      <c r="A10" t="s">
        <v>77</v>
      </c>
      <c r="C10">
        <v>1000000</v>
      </c>
      <c r="D10">
        <f>-mc</f>
        <v>-957971.41659861302</v>
      </c>
      <c r="E10">
        <v>0</v>
      </c>
    </row>
    <row r="11" spans="1:19" x14ac:dyDescent="0.25">
      <c r="A11" t="s">
        <v>78</v>
      </c>
      <c r="C11">
        <f>-mc</f>
        <v>-957971.41659861302</v>
      </c>
      <c r="D11">
        <v>1000000</v>
      </c>
      <c r="E11">
        <f>-mc</f>
        <v>-957971.41659861302</v>
      </c>
    </row>
    <row r="12" spans="1:19" x14ac:dyDescent="0.25">
      <c r="A12" t="s">
        <v>79</v>
      </c>
      <c r="C12">
        <v>0</v>
      </c>
      <c r="D12">
        <f>-mc</f>
        <v>-957971.41659861302</v>
      </c>
      <c r="E12">
        <v>1000000</v>
      </c>
    </row>
    <row r="14" spans="1:19" x14ac:dyDescent="0.25">
      <c r="A14" s="2" t="s">
        <v>95</v>
      </c>
      <c r="D14" s="2" t="s">
        <v>96</v>
      </c>
    </row>
    <row r="15" spans="1:19" x14ac:dyDescent="0.25">
      <c r="A15" t="s">
        <v>97</v>
      </c>
      <c r="B15">
        <f>IF(x&lt;=lc,1,IF(x&lt;ls,0,1))</f>
        <v>1</v>
      </c>
      <c r="D15">
        <v>0</v>
      </c>
      <c r="E15">
        <f>la</f>
        <v>4.2539999999999999E-4</v>
      </c>
      <c r="G15" s="2" t="s">
        <v>39</v>
      </c>
    </row>
    <row r="16" spans="1:19" x14ac:dyDescent="0.25">
      <c r="A16" t="s">
        <v>98</v>
      </c>
      <c r="B16">
        <f>beta*IF(x&lt;=lc,1,IF(x&lt;ls,2,1))</f>
        <v>1</v>
      </c>
      <c r="D16" s="2" t="s">
        <v>99</v>
      </c>
      <c r="G16" t="str">
        <f t="array" ref="G16:S28">_xll.PDASOLVE(eqns, vars, BCs, xDom, tDom, M, Regions, , {"FORMAT","TCOL1"})</f>
        <v>x</v>
      </c>
      <c r="H16">
        <v>0</v>
      </c>
      <c r="I16">
        <v>0</v>
      </c>
      <c r="J16">
        <v>0</v>
      </c>
      <c r="K16">
        <v>2.0000000000000001E-4</v>
      </c>
      <c r="L16">
        <v>2.0000000000000001E-4</v>
      </c>
      <c r="M16">
        <v>2.0000000000000001E-4</v>
      </c>
      <c r="N16">
        <v>2.254E-4</v>
      </c>
      <c r="O16">
        <v>2.254E-4</v>
      </c>
      <c r="P16">
        <v>2.254E-4</v>
      </c>
      <c r="Q16">
        <v>4.2539999999999999E-4</v>
      </c>
      <c r="R16">
        <v>4.2539999999999999E-4</v>
      </c>
      <c r="S16">
        <v>4.2539999999999999E-4</v>
      </c>
    </row>
    <row r="17" spans="1:19" x14ac:dyDescent="0.25">
      <c r="A17" t="s">
        <v>42</v>
      </c>
      <c r="B17">
        <f>gamma*IF(x&lt;=lc,1000000,IF(x&lt;ls,0,1000000))</f>
        <v>195238.41964705099</v>
      </c>
      <c r="D17">
        <v>0</v>
      </c>
      <c r="E17">
        <v>1</v>
      </c>
      <c r="G17" t="str">
        <v>t</v>
      </c>
      <c r="H17" t="str">
        <v>phi_1</v>
      </c>
      <c r="I17" t="str">
        <v>phi_2</v>
      </c>
      <c r="J17" t="str">
        <v>phi_3</v>
      </c>
      <c r="K17" t="str">
        <v>phi_1</v>
      </c>
      <c r="L17" t="str">
        <v>phi_2</v>
      </c>
      <c r="M17" t="str">
        <v>phi_3</v>
      </c>
      <c r="N17" t="str">
        <v>phi_1</v>
      </c>
      <c r="O17" t="str">
        <v>phi_2</v>
      </c>
      <c r="P17" t="str">
        <v>phi_3</v>
      </c>
      <c r="Q17" t="str">
        <v>phi_1</v>
      </c>
      <c r="R17" t="str">
        <v>phi_2</v>
      </c>
      <c r="S17" t="str">
        <v>phi_3</v>
      </c>
    </row>
    <row r="18" spans="1:19" x14ac:dyDescent="0.25">
      <c r="A18" t="s">
        <v>44</v>
      </c>
      <c r="B18">
        <f>IF(x&lt;=lc,3*EXP(-2*t),0)</f>
        <v>3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</row>
    <row r="19" spans="1:19" x14ac:dyDescent="0.25">
      <c r="G19">
        <v>0.1</v>
      </c>
      <c r="H19">
        <v>4.9141481695158959E-2</v>
      </c>
      <c r="I19">
        <v>-3.1278516703469169E-3</v>
      </c>
      <c r="J19">
        <v>0</v>
      </c>
      <c r="K19">
        <v>4.9238998368092382E-2</v>
      </c>
      <c r="L19">
        <v>-2.6654504319289117E-3</v>
      </c>
      <c r="M19">
        <v>0</v>
      </c>
      <c r="N19">
        <v>0</v>
      </c>
      <c r="O19">
        <v>-2.6101347870541389E-3</v>
      </c>
      <c r="P19">
        <v>-3.9381915083444238E-4</v>
      </c>
      <c r="Q19">
        <v>0</v>
      </c>
      <c r="R19">
        <v>-2.2359776426861605E-3</v>
      </c>
      <c r="S19">
        <v>0</v>
      </c>
    </row>
    <row r="20" spans="1:19" x14ac:dyDescent="0.25">
      <c r="A20" s="2" t="s">
        <v>100</v>
      </c>
      <c r="D20" s="2" t="s">
        <v>101</v>
      </c>
      <c r="G20">
        <v>0.2</v>
      </c>
      <c r="H20">
        <v>8.9052061713668473E-2</v>
      </c>
      <c r="I20">
        <v>-4.7831241552424436E-3</v>
      </c>
      <c r="J20">
        <v>0</v>
      </c>
      <c r="K20">
        <v>8.9150024439277054E-2</v>
      </c>
      <c r="L20">
        <v>-4.3955794578792321E-3</v>
      </c>
      <c r="M20">
        <v>0</v>
      </c>
      <c r="N20">
        <v>0</v>
      </c>
      <c r="O20">
        <v>-4.3491562885853829E-3</v>
      </c>
      <c r="P20">
        <v>-3.3119729225046459E-4</v>
      </c>
      <c r="Q20">
        <v>0</v>
      </c>
      <c r="R20">
        <v>-4.0340443671657766E-3</v>
      </c>
      <c r="S20">
        <v>0</v>
      </c>
    </row>
    <row r="21" spans="1:19" x14ac:dyDescent="0.25">
      <c r="A21" t="s">
        <v>102</v>
      </c>
      <c r="B21">
        <f>phi1xx-a*(phi_1-phi_2-f)</f>
        <v>585715.25894115295</v>
      </c>
      <c r="D21">
        <v>0</v>
      </c>
      <c r="E21">
        <f>lc</f>
        <v>2.0000000000000001E-4</v>
      </c>
      <c r="G21">
        <v>0.30000000000000004</v>
      </c>
      <c r="H21">
        <v>0.12065548150756729</v>
      </c>
      <c r="I21">
        <v>-6.1408306849839505E-3</v>
      </c>
      <c r="J21">
        <v>0</v>
      </c>
      <c r="K21">
        <v>0.12075381352264593</v>
      </c>
      <c r="L21">
        <v>-5.8144118401996358E-3</v>
      </c>
      <c r="M21">
        <v>0</v>
      </c>
      <c r="N21">
        <v>0</v>
      </c>
      <c r="O21">
        <v>-5.7752489093908128E-3</v>
      </c>
      <c r="P21">
        <v>-2.8017970359157186E-4</v>
      </c>
      <c r="Q21">
        <v>0</v>
      </c>
      <c r="R21">
        <v>-5.5082420028953515E-3</v>
      </c>
      <c r="S21">
        <v>0</v>
      </c>
    </row>
    <row r="22" spans="1:19" x14ac:dyDescent="0.25">
      <c r="A22" t="s">
        <v>103</v>
      </c>
      <c r="B22">
        <f>kappa*phi2xx+a*(phi_1-phi_2 -f)</f>
        <v>-585715.25894115295</v>
      </c>
      <c r="D22">
        <v>0</v>
      </c>
      <c r="E22">
        <f>la</f>
        <v>4.2539999999999999E-4</v>
      </c>
      <c r="G22">
        <v>0.4</v>
      </c>
      <c r="H22">
        <v>0.14546443756495797</v>
      </c>
      <c r="I22">
        <v>-7.2550451150889964E-3</v>
      </c>
      <c r="J22">
        <v>0</v>
      </c>
      <c r="K22">
        <v>0.14556307109732916</v>
      </c>
      <c r="L22">
        <v>-6.9785145741995246E-3</v>
      </c>
      <c r="M22">
        <v>0</v>
      </c>
      <c r="N22">
        <v>0</v>
      </c>
      <c r="O22">
        <v>-6.9452769666513026E-3</v>
      </c>
      <c r="P22">
        <v>-2.3854627172211604E-4</v>
      </c>
      <c r="Q22">
        <v>0</v>
      </c>
      <c r="R22">
        <v>-6.7175254634120538E-3</v>
      </c>
      <c r="S22">
        <v>0</v>
      </c>
    </row>
    <row r="23" spans="1:19" x14ac:dyDescent="0.25">
      <c r="A23" t="s">
        <v>104</v>
      </c>
      <c r="B23">
        <f>phi3xx-a*(phi_3-phi_2)</f>
        <v>0</v>
      </c>
      <c r="D23">
        <f>ls</f>
        <v>2.254E-4</v>
      </c>
      <c r="E23">
        <f>la</f>
        <v>4.2539999999999999E-4</v>
      </c>
      <c r="G23">
        <v>0.5</v>
      </c>
      <c r="H23">
        <v>0.16474426408923809</v>
      </c>
      <c r="I23">
        <v>-8.1711303718043863E-3</v>
      </c>
      <c r="J23">
        <v>0</v>
      </c>
      <c r="K23">
        <v>0.16484314510613662</v>
      </c>
      <c r="L23">
        <v>-7.9352773417433915E-3</v>
      </c>
      <c r="M23">
        <v>0</v>
      </c>
      <c r="N23">
        <v>0</v>
      </c>
      <c r="O23">
        <v>-7.9068707307731415E-3</v>
      </c>
      <c r="P23">
        <v>-2.0460434263453988E-4</v>
      </c>
      <c r="Q23">
        <v>0</v>
      </c>
      <c r="R23">
        <v>-7.7111206073848153E-3</v>
      </c>
      <c r="S23">
        <v>0</v>
      </c>
    </row>
    <row r="24" spans="1:19" x14ac:dyDescent="0.25">
      <c r="G24">
        <v>0.6</v>
      </c>
      <c r="H24">
        <v>0.17950273797369845</v>
      </c>
      <c r="I24">
        <v>-8.9250577949648857E-3</v>
      </c>
      <c r="J24">
        <v>0</v>
      </c>
      <c r="K24">
        <v>0.17960182114894996</v>
      </c>
      <c r="L24">
        <v>-8.722360618852858E-3</v>
      </c>
      <c r="M24">
        <v>0</v>
      </c>
      <c r="N24">
        <v>0</v>
      </c>
      <c r="O24">
        <v>-8.6978914884042052E-3</v>
      </c>
      <c r="P24">
        <v>-1.7694248145620273E-4</v>
      </c>
      <c r="Q24">
        <v>0</v>
      </c>
      <c r="R24">
        <v>-8.5282201914528531E-3</v>
      </c>
      <c r="S24">
        <v>0</v>
      </c>
    </row>
    <row r="25" spans="1:19" x14ac:dyDescent="0.25">
      <c r="G25">
        <v>0.7</v>
      </c>
      <c r="H25">
        <v>0.19059169211175828</v>
      </c>
      <c r="I25">
        <v>-9.5473753078541244E-3</v>
      </c>
      <c r="J25">
        <v>0</v>
      </c>
      <c r="K25">
        <v>0.19069094119391972</v>
      </c>
      <c r="L25">
        <v>-9.3716641015051429E-3</v>
      </c>
      <c r="M25">
        <v>0</v>
      </c>
      <c r="N25">
        <v>0</v>
      </c>
      <c r="O25">
        <v>-9.3503993836198916E-3</v>
      </c>
      <c r="P25">
        <v>-1.5443345637943068E-4</v>
      </c>
      <c r="Q25">
        <v>0</v>
      </c>
      <c r="R25">
        <v>-9.2019469382869749E-3</v>
      </c>
      <c r="S25">
        <v>0</v>
      </c>
    </row>
    <row r="26" spans="1:19" x14ac:dyDescent="0.25">
      <c r="G26">
        <v>0.79999999999999993</v>
      </c>
      <c r="H26">
        <v>0.19868092709138438</v>
      </c>
      <c r="I26">
        <v>-1.0061956661068667E-2</v>
      </c>
      <c r="J26">
        <v>0</v>
      </c>
      <c r="K26">
        <v>0.19878031152611855</v>
      </c>
      <c r="L26">
        <v>-9.9081928046073197E-3</v>
      </c>
      <c r="M26">
        <v>0</v>
      </c>
      <c r="N26">
        <v>0</v>
      </c>
      <c r="O26">
        <v>-9.8895339388803526E-3</v>
      </c>
      <c r="P26">
        <v>-1.3613185212879049E-4</v>
      </c>
      <c r="Q26">
        <v>0</v>
      </c>
      <c r="R26">
        <v>-9.7583322924727593E-3</v>
      </c>
      <c r="S26">
        <v>0</v>
      </c>
    </row>
    <row r="27" spans="1:19" x14ac:dyDescent="0.25">
      <c r="G27">
        <v>0.89999999999999991</v>
      </c>
      <c r="H27">
        <v>0.20435102292433238</v>
      </c>
      <c r="I27">
        <v>-1.0489622382448114E-2</v>
      </c>
      <c r="J27">
        <v>0</v>
      </c>
      <c r="K27">
        <v>0.2044505189884552</v>
      </c>
      <c r="L27">
        <v>-1.0353680159055544E-2</v>
      </c>
      <c r="M27">
        <v>0</v>
      </c>
      <c r="N27">
        <v>0</v>
      </c>
      <c r="O27">
        <v>-1.0337136889832762E-2</v>
      </c>
      <c r="P27">
        <v>-1.2127639193455798E-4</v>
      </c>
      <c r="Q27">
        <v>0</v>
      </c>
      <c r="R27">
        <v>-1.0219935464169279E-2</v>
      </c>
      <c r="S27">
        <v>0</v>
      </c>
    </row>
    <row r="28" spans="1:19" x14ac:dyDescent="0.25">
      <c r="G28">
        <v>1</v>
      </c>
      <c r="H28">
        <v>0.20803990441895576</v>
      </c>
      <c r="I28">
        <v>-1.0845953693803636E-2</v>
      </c>
      <c r="J28">
        <v>0</v>
      </c>
      <c r="K28">
        <v>0.20813949051369671</v>
      </c>
      <c r="L28">
        <v>-1.0724452393325441E-2</v>
      </c>
      <c r="M28">
        <v>0</v>
      </c>
      <c r="N28">
        <v>0</v>
      </c>
      <c r="O28">
        <v>-1.0709623150515679E-2</v>
      </c>
      <c r="P28">
        <v>-1.0924482399971055E-4</v>
      </c>
      <c r="Q28">
        <v>0</v>
      </c>
      <c r="R28">
        <v>-1.0603758657554531E-2</v>
      </c>
      <c r="S28">
        <v>0</v>
      </c>
    </row>
    <row r="31" spans="1:19" x14ac:dyDescent="0.25">
      <c r="B31" s="9" t="s">
        <v>70</v>
      </c>
      <c r="C31" s="8"/>
      <c r="D31" s="8"/>
      <c r="E31" s="8"/>
      <c r="F31" s="8"/>
      <c r="G31" s="8"/>
      <c r="H31" s="8"/>
      <c r="I31" s="8"/>
    </row>
    <row r="32" spans="1:19" x14ac:dyDescent="0.25">
      <c r="B32" s="8"/>
      <c r="C32" s="8"/>
      <c r="D32" s="8"/>
      <c r="E32" s="8"/>
      <c r="F32" s="8"/>
      <c r="G32" s="8"/>
      <c r="H32" s="8"/>
      <c r="I32" s="8"/>
    </row>
    <row r="33" spans="2:13" x14ac:dyDescent="0.25">
      <c r="B33" s="8" t="s">
        <v>83</v>
      </c>
      <c r="C33" s="8"/>
      <c r="D33" s="8"/>
      <c r="E33" s="8"/>
      <c r="F33" s="8"/>
      <c r="G33" s="8"/>
      <c r="H33" s="8"/>
      <c r="I33" s="8"/>
    </row>
    <row r="34" spans="2:13" x14ac:dyDescent="0.25">
      <c r="B34" s="8" t="s">
        <v>17</v>
      </c>
      <c r="C34" s="8" t="s">
        <v>86</v>
      </c>
      <c r="D34" s="8"/>
      <c r="E34" s="8"/>
      <c r="F34" s="8"/>
      <c r="G34" s="8"/>
      <c r="H34" s="8"/>
      <c r="I34" s="8"/>
      <c r="J34" s="11"/>
      <c r="K34" s="11"/>
      <c r="L34" s="11"/>
      <c r="M34" s="11"/>
    </row>
    <row r="35" spans="2:13" x14ac:dyDescent="0.25">
      <c r="B35" s="8">
        <v>0</v>
      </c>
      <c r="C35" s="8">
        <v>0</v>
      </c>
      <c r="D35" s="8"/>
      <c r="E35" s="8"/>
      <c r="F35" s="8" t="s">
        <v>38</v>
      </c>
      <c r="G35" s="8"/>
      <c r="H35" s="8"/>
      <c r="I35" s="8"/>
      <c r="J35" s="11"/>
      <c r="K35" s="11"/>
      <c r="L35" s="11"/>
      <c r="M35" s="11"/>
    </row>
    <row r="36" spans="2:13" x14ac:dyDescent="0.25">
      <c r="B36" s="8">
        <v>0.1</v>
      </c>
      <c r="C36" s="8">
        <v>-2.0527053893828E-3</v>
      </c>
      <c r="D36" s="8"/>
      <c r="E36" s="8"/>
      <c r="F36" s="8">
        <f ca="1">_xll.ARRAYVAL(L19)-C36</f>
        <v>-6.1274504254611164E-4</v>
      </c>
      <c r="G36" s="8"/>
      <c r="H36" s="6">
        <v>1</v>
      </c>
      <c r="I36" s="10" t="s">
        <v>105</v>
      </c>
    </row>
    <row r="37" spans="2:13" x14ac:dyDescent="0.25">
      <c r="B37" s="8">
        <v>0.2</v>
      </c>
      <c r="C37" s="8">
        <v>-3.8053799150707399E-3</v>
      </c>
      <c r="D37" s="8"/>
      <c r="E37" s="8"/>
      <c r="F37" s="8">
        <f ca="1">_xll.ARRAYVAL(L20)-C37</f>
        <v>-5.9019954280849218E-4</v>
      </c>
      <c r="G37" s="8"/>
      <c r="H37" s="8"/>
      <c r="I37" s="10"/>
    </row>
    <row r="38" spans="2:13" x14ac:dyDescent="0.25">
      <c r="B38" s="8">
        <v>0.30000000000000004</v>
      </c>
      <c r="C38" s="8">
        <v>-5.9445794525301802E-3</v>
      </c>
      <c r="D38" s="8"/>
      <c r="E38" s="8"/>
      <c r="F38" s="8">
        <f ca="1">_xll.ARRAYVAL(L21)-C38</f>
        <v>1.3016761233054439E-4</v>
      </c>
      <c r="G38" s="8"/>
      <c r="H38" s="8" t="str">
        <f t="array" ref="H38:I42">IF(H36=1,_xll.NLSOLVE(F36:F45,(gamma,mc)))</f>
        <v>gamma</v>
      </c>
      <c r="I38" s="8">
        <v>0.19516570361863977</v>
      </c>
    </row>
    <row r="39" spans="2:13" x14ac:dyDescent="0.25">
      <c r="B39" s="8">
        <v>0.4</v>
      </c>
      <c r="C39" s="8">
        <v>-6.6687269661542996E-3</v>
      </c>
      <c r="D39" s="8"/>
      <c r="E39" s="8"/>
      <c r="F39" s="8">
        <f ca="1">_xll.ARRAYVAL(L22)-C39</f>
        <v>-3.0978760804522502E-4</v>
      </c>
      <c r="G39" s="8"/>
      <c r="H39" s="8" t="str">
        <v>mc</v>
      </c>
      <c r="I39" s="8">
        <v>957956.84005204728</v>
      </c>
    </row>
    <row r="40" spans="2:13" x14ac:dyDescent="0.25">
      <c r="B40" s="8">
        <v>0.5</v>
      </c>
      <c r="C40" s="8">
        <v>-8.4364369692656802E-3</v>
      </c>
      <c r="D40" s="8"/>
      <c r="E40" s="8"/>
      <c r="F40" s="8">
        <f ca="1">_xll.ARRAYVAL(L23)-C40</f>
        <v>5.0115962752228863E-4</v>
      </c>
      <c r="G40" s="8"/>
      <c r="H40" s="8" t="str">
        <v>SSERROR</v>
      </c>
      <c r="I40" s="8">
        <v>1.6112124275902369E-6</v>
      </c>
    </row>
    <row r="41" spans="2:13" x14ac:dyDescent="0.25">
      <c r="B41" s="8">
        <v>0.6</v>
      </c>
      <c r="C41" s="8">
        <v>-9.13639773917071E-3</v>
      </c>
      <c r="D41" s="8"/>
      <c r="E41" s="8"/>
      <c r="F41" s="8">
        <f ca="1">_xll.ARRAYVAL(L24)-C41</f>
        <v>4.1403712031785195E-4</v>
      </c>
      <c r="G41" s="8"/>
      <c r="H41" s="8" t="str">
        <v>ITRN</v>
      </c>
      <c r="I41" s="8">
        <v>2</v>
      </c>
    </row>
    <row r="42" spans="2:13" x14ac:dyDescent="0.25">
      <c r="B42" s="8">
        <v>0.7</v>
      </c>
      <c r="C42" s="8">
        <v>-9.7344913598028104E-3</v>
      </c>
      <c r="D42" s="8"/>
      <c r="E42" s="8"/>
      <c r="F42" s="8">
        <f ca="1">_xll.ARRAYVAL(L25)-C42</f>
        <v>3.6282725829766757E-4</v>
      </c>
      <c r="G42" s="8"/>
      <c r="H42" s="8" t="str">
        <v>TIME (s)</v>
      </c>
      <c r="I42" s="8">
        <v>0.121</v>
      </c>
    </row>
    <row r="43" spans="2:13" x14ac:dyDescent="0.25">
      <c r="B43" s="8">
        <v>0.79999999999999993</v>
      </c>
      <c r="C43" s="8">
        <v>-1.0031262325392899E-2</v>
      </c>
      <c r="D43" s="8"/>
      <c r="E43" s="8"/>
      <c r="F43" s="8">
        <f ca="1">_xll.ARRAYVAL(L26)-C43</f>
        <v>1.2306952078557955E-4</v>
      </c>
      <c r="G43" s="8"/>
      <c r="H43" s="8"/>
      <c r="I43" s="8"/>
    </row>
    <row r="44" spans="2:13" x14ac:dyDescent="0.25">
      <c r="B44" s="8">
        <v>0.89999999999999991</v>
      </c>
      <c r="C44" s="8">
        <v>-1.00505290832789E-2</v>
      </c>
      <c r="D44" s="8"/>
      <c r="E44" s="8"/>
      <c r="F44" s="8">
        <f ca="1">_xll.ARRAYVAL(L27)-C44</f>
        <v>-3.0315107577664341E-4</v>
      </c>
      <c r="G44" s="8"/>
      <c r="H44" s="8"/>
      <c r="I44" s="8"/>
    </row>
    <row r="45" spans="2:13" x14ac:dyDescent="0.25">
      <c r="B45" s="8">
        <v>1</v>
      </c>
      <c r="C45" s="8">
        <v>-1.03879546077153E-2</v>
      </c>
      <c r="D45" s="8"/>
      <c r="E45" s="8"/>
      <c r="F45" s="8">
        <f ca="1">_xll.ARRAYVAL(L28)-C45</f>
        <v>-3.3649778561014101E-4</v>
      </c>
      <c r="G45" s="8"/>
      <c r="H45" s="8"/>
      <c r="I45" s="8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63</vt:i4>
      </vt:variant>
    </vt:vector>
  </HeadingPairs>
  <TitlesOfParts>
    <vt:vector size="70" baseType="lpstr">
      <vt:lpstr>Readme</vt:lpstr>
      <vt:lpstr>Excel Solver</vt:lpstr>
      <vt:lpstr>Cone volume</vt:lpstr>
      <vt:lpstr>2nd order system</vt:lpstr>
      <vt:lpstr>Travelling Train</vt:lpstr>
      <vt:lpstr>Hot Slab</vt:lpstr>
      <vt:lpstr>Battery Parameters</vt:lpstr>
      <vt:lpstr>'Battery Parameters'!a</vt:lpstr>
      <vt:lpstr>'Excel Solver'!a</vt:lpstr>
      <vt:lpstr>'Excel Solver'!b</vt:lpstr>
      <vt:lpstr>'Battery Parameters'!BCs</vt:lpstr>
      <vt:lpstr>'Battery Parameters'!beta</vt:lpstr>
      <vt:lpstr>'Travelling Train'!d</vt:lpstr>
      <vt:lpstr>'Battery Parameters'!eqns</vt:lpstr>
      <vt:lpstr>'Battery Parameters'!f</vt:lpstr>
      <vt:lpstr>'Excel Solver'!f</vt:lpstr>
      <vt:lpstr>'Travelling Train'!Fd</vt:lpstr>
      <vt:lpstr>'Travelling Train'!Fg</vt:lpstr>
      <vt:lpstr>'Travelling Train'!Fp</vt:lpstr>
      <vt:lpstr>'Battery Parameters'!gamma</vt:lpstr>
      <vt:lpstr>'Cone volume'!H</vt:lpstr>
      <vt:lpstr>'Hot Slab'!k</vt:lpstr>
      <vt:lpstr>'Battery Parameters'!kappa</vt:lpstr>
      <vt:lpstr>'Battery Parameters'!la</vt:lpstr>
      <vt:lpstr>'Battery Parameters'!lc</vt:lpstr>
      <vt:lpstr>'Battery Parameters'!ls</vt:lpstr>
      <vt:lpstr>'Battery Parameters'!M</vt:lpstr>
      <vt:lpstr>'Battery Parameters'!mc</vt:lpstr>
      <vt:lpstr>'Travelling Train'!mt</vt:lpstr>
      <vt:lpstr>'2nd order system'!omega</vt:lpstr>
      <vt:lpstr>'2nd order system'!overshoot</vt:lpstr>
      <vt:lpstr>'Hot Slab'!p</vt:lpstr>
      <vt:lpstr>'2nd order system'!peak_time</vt:lpstr>
      <vt:lpstr>'Battery Parameters'!phi_1</vt:lpstr>
      <vt:lpstr>'Battery Parameters'!phi_2</vt:lpstr>
      <vt:lpstr>'Battery Parameters'!phi_3</vt:lpstr>
      <vt:lpstr>'Battery Parameters'!phi1x</vt:lpstr>
      <vt:lpstr>'Battery Parameters'!phi1xx</vt:lpstr>
      <vt:lpstr>'Battery Parameters'!phi2x</vt:lpstr>
      <vt:lpstr>'Battery Parameters'!phi2xx</vt:lpstr>
      <vt:lpstr>'Battery Parameters'!phi3x</vt:lpstr>
      <vt:lpstr>'Battery Parameters'!phi3xx</vt:lpstr>
      <vt:lpstr>'Cone volume'!R_</vt:lpstr>
      <vt:lpstr>'Travelling Train'!Rad</vt:lpstr>
      <vt:lpstr>'Battery Parameters'!Regions</vt:lpstr>
      <vt:lpstr>'Battery Parameters'!sigma</vt:lpstr>
      <vt:lpstr>'2nd order system'!t</vt:lpstr>
      <vt:lpstr>'Battery Parameters'!t</vt:lpstr>
      <vt:lpstr>'Hot Slab'!t</vt:lpstr>
      <vt:lpstr>'Travelling Train'!t</vt:lpstr>
      <vt:lpstr>'Battery Parameters'!tDom</vt:lpstr>
      <vt:lpstr>'Travelling Train'!tf</vt:lpstr>
      <vt:lpstr>'Travelling Train'!theta</vt:lpstr>
      <vt:lpstr>'Hot Slab'!u</vt:lpstr>
      <vt:lpstr>'Hot Slab'!ux</vt:lpstr>
      <vt:lpstr>'Hot Slab'!uxx</vt:lpstr>
      <vt:lpstr>'2nd order system'!v</vt:lpstr>
      <vt:lpstr>'Travelling Train'!v</vt:lpstr>
      <vt:lpstr>'Battery Parameters'!vars</vt:lpstr>
      <vt:lpstr>'Cone volume'!vol</vt:lpstr>
      <vt:lpstr>'2nd order system'!x</vt:lpstr>
      <vt:lpstr>'Battery Parameters'!x</vt:lpstr>
      <vt:lpstr>'Excel Solver'!x</vt:lpstr>
      <vt:lpstr>'Hot Slab'!x</vt:lpstr>
      <vt:lpstr>'Travelling Train'!x</vt:lpstr>
      <vt:lpstr>'Battery Parameters'!xDom</vt:lpstr>
      <vt:lpstr>'Cone volume'!y_hi</vt:lpstr>
      <vt:lpstr>'Cone volume'!y_low</vt:lpstr>
      <vt:lpstr>'Cone volume'!z_low</vt:lpstr>
      <vt:lpstr>'2nd order system'!zeta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support@excel-works.com</dc:creator>
  <cp:lastModifiedBy>Support</cp:lastModifiedBy>
  <dcterms:created xsi:type="dcterms:W3CDTF">2018-04-03T01:38:12Z</dcterms:created>
  <dcterms:modified xsi:type="dcterms:W3CDTF">2020-09-05T14:55:01Z</dcterms:modified>
</cp:coreProperties>
</file>